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2023\Servizi vari\Preso - Palitalsoft\Lavorazione\"/>
    </mc:Choice>
  </mc:AlternateContent>
  <xr:revisionPtr revIDLastSave="0" documentId="8_{77FD2171-31EA-43A9-B07B-906A96D68BB4}" xr6:coauthVersionLast="47" xr6:coauthVersionMax="47" xr10:uidLastSave="{00000000-0000-0000-0000-000000000000}"/>
  <bookViews>
    <workbookView xWindow="28680" yWindow="-120" windowWidth="29040" windowHeight="15840" tabRatio="685" xr2:uid="{00000000-000D-0000-FFFF-FFFF00000000}"/>
  </bookViews>
  <sheets>
    <sheet name="1 - Descrizione progetto" sheetId="1" r:id="rId1"/>
    <sheet name="2 - Spec. ricavi e costi" sheetId="2" r:id="rId2"/>
    <sheet name="3 - Parametri, IVA, flusso fin." sheetId="3" r:id="rId3"/>
    <sheet name="4 - Analisi finanziaria" sheetId="4" r:id="rId4"/>
    <sheet name="5 - Conto Economico" sheetId="7" r:id="rId5"/>
    <sheet name="6 - Dettaglio comp. ammort." sheetId="8" r:id="rId6"/>
  </sheets>
  <definedNames>
    <definedName name="AMBITO">#REF!</definedName>
    <definedName name="NATURA">#REF!</definedName>
    <definedName name="SCHEMA_PPP">#REF!</definedName>
    <definedName name="TIPOLOGI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2" l="1"/>
  <c r="C26" i="2"/>
  <c r="E37" i="3"/>
  <c r="F37" i="3"/>
  <c r="G37" i="3"/>
  <c r="H37" i="3"/>
  <c r="E33" i="3"/>
  <c r="F33" i="3"/>
  <c r="G33" i="3"/>
  <c r="H33" i="3"/>
  <c r="E34" i="3"/>
  <c r="F34" i="3"/>
  <c r="G34" i="3"/>
  <c r="H34" i="3"/>
  <c r="Q31" i="2"/>
  <c r="H12" i="2"/>
  <c r="E20" i="4"/>
  <c r="F20" i="4"/>
  <c r="G20" i="4"/>
  <c r="H20" i="4"/>
  <c r="D11" i="2"/>
  <c r="E11" i="2"/>
  <c r="F11" i="2"/>
  <c r="G11" i="2"/>
  <c r="D10" i="2"/>
  <c r="E10" i="2"/>
  <c r="F10" i="2"/>
  <c r="G10" i="2"/>
  <c r="D9" i="2"/>
  <c r="E9" i="2"/>
  <c r="F9" i="2"/>
  <c r="G9" i="2"/>
  <c r="D8" i="2"/>
  <c r="E8" i="2"/>
  <c r="F8" i="2"/>
  <c r="G8" i="2"/>
  <c r="D7" i="2"/>
  <c r="E7" i="2"/>
  <c r="F7" i="2"/>
  <c r="G7" i="2"/>
  <c r="D6" i="2"/>
  <c r="E6" i="2"/>
  <c r="F6" i="2"/>
  <c r="G6" i="2"/>
  <c r="C6" i="2"/>
  <c r="C7" i="2"/>
  <c r="C8" i="2"/>
  <c r="C9" i="2"/>
  <c r="C10" i="2"/>
  <c r="C11" i="2"/>
  <c r="O33" i="2" l="1"/>
  <c r="D10" i="7"/>
  <c r="E10" i="7"/>
  <c r="F10" i="7"/>
  <c r="G10" i="7"/>
  <c r="C10" i="7"/>
  <c r="E10" i="4"/>
  <c r="E21" i="4" s="1"/>
  <c r="F10" i="4"/>
  <c r="F21" i="4" s="1"/>
  <c r="G10" i="4"/>
  <c r="G21" i="4" s="1"/>
  <c r="H10" i="4"/>
  <c r="H21" i="4" s="1"/>
  <c r="D10" i="4"/>
  <c r="D21" i="4" s="1"/>
  <c r="D7" i="8"/>
  <c r="C7" i="8"/>
  <c r="G7" i="8"/>
  <c r="H7" i="8"/>
  <c r="I7" i="8"/>
  <c r="J7" i="8"/>
  <c r="G3" i="8"/>
  <c r="H3" i="8"/>
  <c r="I3" i="8"/>
  <c r="J3" i="8"/>
  <c r="G4" i="8"/>
  <c r="H4" i="8"/>
  <c r="I4" i="8"/>
  <c r="J4" i="8"/>
  <c r="G5" i="8"/>
  <c r="H5" i="8"/>
  <c r="I5" i="8"/>
  <c r="J5" i="8"/>
  <c r="G6" i="8"/>
  <c r="H6" i="8"/>
  <c r="I6" i="8"/>
  <c r="J6" i="8"/>
  <c r="F4" i="8"/>
  <c r="F5" i="8"/>
  <c r="F6" i="8"/>
  <c r="F3" i="8"/>
  <c r="D20" i="4"/>
  <c r="D24" i="4"/>
  <c r="M5" i="2" l="1"/>
  <c r="D5" i="2" s="1"/>
  <c r="L5" i="2"/>
  <c r="N5" i="2"/>
  <c r="E5" i="2" s="1"/>
  <c r="P5" i="2"/>
  <c r="G5" i="2" s="1"/>
  <c r="O5" i="2"/>
  <c r="F5" i="2" s="1"/>
  <c r="N33" i="2"/>
  <c r="P33" i="2"/>
  <c r="L33" i="2"/>
  <c r="M33" i="2"/>
  <c r="F7" i="8"/>
  <c r="C20" i="4"/>
  <c r="E24" i="4"/>
  <c r="Q33" i="2" l="1"/>
  <c r="Q5" i="2"/>
  <c r="C5" i="2"/>
  <c r="F24" i="4"/>
  <c r="G24" i="4" l="1"/>
  <c r="H24" i="4" l="1"/>
  <c r="G61" i="2" l="1"/>
  <c r="G7" i="7" s="1"/>
  <c r="F61" i="2"/>
  <c r="G7" i="4" s="1"/>
  <c r="E61" i="2"/>
  <c r="F7" i="4" s="1"/>
  <c r="D61" i="2"/>
  <c r="E7" i="4" s="1"/>
  <c r="C61" i="2"/>
  <c r="D21" i="3" s="1"/>
  <c r="E18" i="3"/>
  <c r="F18" i="3"/>
  <c r="G18" i="3"/>
  <c r="H18" i="3"/>
  <c r="D18" i="3"/>
  <c r="D5" i="4"/>
  <c r="E4" i="4"/>
  <c r="F4" i="4"/>
  <c r="G4" i="4"/>
  <c r="H4" i="4"/>
  <c r="E5" i="4"/>
  <c r="F5" i="4"/>
  <c r="G5" i="4"/>
  <c r="H5" i="4"/>
  <c r="C42" i="1"/>
  <c r="D5" i="7"/>
  <c r="E5" i="7"/>
  <c r="F5" i="7"/>
  <c r="G5" i="7"/>
  <c r="C5" i="7"/>
  <c r="D3" i="7"/>
  <c r="E3" i="7"/>
  <c r="F3" i="7"/>
  <c r="G3" i="7"/>
  <c r="C3" i="7"/>
  <c r="D4" i="4"/>
  <c r="H55" i="2"/>
  <c r="K55" i="2" s="1"/>
  <c r="H57" i="2"/>
  <c r="K57" i="2" s="1"/>
  <c r="H58" i="2"/>
  <c r="K58" i="2" s="1"/>
  <c r="H59" i="2"/>
  <c r="K59" i="2" s="1"/>
  <c r="H60" i="2"/>
  <c r="K60" i="2" s="1"/>
  <c r="H56" i="2"/>
  <c r="K56" i="2" s="1"/>
  <c r="D54" i="2"/>
  <c r="E54" i="2"/>
  <c r="F54" i="2"/>
  <c r="G54" i="2"/>
  <c r="C54" i="2"/>
  <c r="H63" i="2"/>
  <c r="K63" i="2" s="1"/>
  <c r="H62" i="2"/>
  <c r="K62" i="2" s="1"/>
  <c r="H65" i="2"/>
  <c r="K65" i="2" s="1"/>
  <c r="H64" i="2"/>
  <c r="K64" i="2" s="1"/>
  <c r="H6" i="2"/>
  <c r="K6" i="2" s="1"/>
  <c r="H7" i="2"/>
  <c r="K7" i="2" s="1"/>
  <c r="H8" i="2"/>
  <c r="K8" i="2" s="1"/>
  <c r="H9" i="2"/>
  <c r="K9" i="2" s="1"/>
  <c r="H10" i="2"/>
  <c r="K10" i="2" s="1"/>
  <c r="E21" i="3" l="1"/>
  <c r="E10" i="3" s="1"/>
  <c r="H7" i="4"/>
  <c r="D7" i="7"/>
  <c r="C7" i="7"/>
  <c r="F7" i="7"/>
  <c r="H21" i="3"/>
  <c r="H10" i="3" s="1"/>
  <c r="E7" i="7"/>
  <c r="G21" i="3"/>
  <c r="G10" i="3" s="1"/>
  <c r="D7" i="4"/>
  <c r="F21" i="3"/>
  <c r="F10" i="3" s="1"/>
  <c r="H54" i="2"/>
  <c r="K54" i="2" s="1"/>
  <c r="H61" i="2"/>
  <c r="K61" i="2" s="1"/>
  <c r="C21" i="4" l="1"/>
  <c r="C4" i="4"/>
  <c r="C27" i="4"/>
  <c r="F11" i="4"/>
  <c r="G11" i="4" s="1"/>
  <c r="H11" i="4" s="1"/>
  <c r="C8" i="4"/>
  <c r="C5" i="4"/>
  <c r="C10" i="4" l="1"/>
  <c r="C11" i="4"/>
  <c r="C7" i="4" l="1"/>
  <c r="D16" i="2" l="1"/>
  <c r="E16" i="2" s="1"/>
  <c r="D17" i="2"/>
  <c r="E17" i="2" s="1"/>
  <c r="D18" i="2"/>
  <c r="E18" i="2" s="1"/>
  <c r="F18" i="2" s="1"/>
  <c r="G18" i="2" s="1"/>
  <c r="D19" i="2"/>
  <c r="E19" i="2" s="1"/>
  <c r="D20" i="2"/>
  <c r="E20" i="2" s="1"/>
  <c r="D21" i="2"/>
  <c r="E21" i="2" s="1"/>
  <c r="D67" i="2"/>
  <c r="E67" i="2" s="1"/>
  <c r="F67" i="2" s="1"/>
  <c r="G67" i="2" s="1"/>
  <c r="H23" i="2"/>
  <c r="H11" i="2"/>
  <c r="K11" i="2" s="1"/>
  <c r="H5" i="2"/>
  <c r="C32" i="2"/>
  <c r="C33" i="1"/>
  <c r="C30" i="1"/>
  <c r="B26" i="1"/>
  <c r="B25" i="1"/>
  <c r="B24" i="1"/>
  <c r="B23" i="1"/>
  <c r="B22" i="1"/>
  <c r="B21" i="1"/>
  <c r="B20" i="1"/>
  <c r="B19" i="1"/>
  <c r="B10" i="1"/>
  <c r="K5" i="2" l="1"/>
  <c r="D19" i="3"/>
  <c r="D33" i="3" s="1"/>
  <c r="F21" i="2"/>
  <c r="G21" i="2" s="1"/>
  <c r="F20" i="2"/>
  <c r="G20" i="2" s="1"/>
  <c r="F17" i="2"/>
  <c r="G17" i="2" s="1"/>
  <c r="F19" i="2"/>
  <c r="G19" i="2" s="1"/>
  <c r="F16" i="2"/>
  <c r="G16" i="2" s="1"/>
  <c r="H18" i="2"/>
  <c r="H67" i="2"/>
  <c r="K67" i="2" s="1"/>
  <c r="H16" i="2" l="1"/>
  <c r="H17" i="2"/>
  <c r="H19" i="2"/>
  <c r="H20" i="2"/>
  <c r="H21" i="2"/>
  <c r="E3" i="2"/>
  <c r="D32" i="2"/>
  <c r="E32" i="2" l="1"/>
  <c r="F3" i="2"/>
  <c r="F32" i="2" l="1"/>
  <c r="G3" i="2"/>
  <c r="G32" i="2" s="1"/>
  <c r="C37" i="2" l="1"/>
  <c r="D35" i="2"/>
  <c r="H36" i="2"/>
  <c r="K36" i="2" s="1"/>
  <c r="C49" i="2"/>
  <c r="C51" i="2"/>
  <c r="C50" i="2"/>
  <c r="G46" i="2"/>
  <c r="H43" i="2"/>
  <c r="K43" i="2" s="1"/>
  <c r="D46" i="2"/>
  <c r="C46" i="2"/>
  <c r="H41" i="2"/>
  <c r="K41" i="2" s="1"/>
  <c r="F46" i="2"/>
  <c r="C38" i="2"/>
  <c r="H39" i="2"/>
  <c r="K39" i="2" s="1"/>
  <c r="C47" i="2"/>
  <c r="H42" i="2"/>
  <c r="K42" i="2" s="1"/>
  <c r="H44" i="2"/>
  <c r="K44" i="2" s="1"/>
  <c r="C52" i="2"/>
  <c r="C53" i="2"/>
  <c r="H40" i="2"/>
  <c r="K40" i="2" s="1"/>
  <c r="C48" i="2"/>
  <c r="C35" i="2"/>
  <c r="G35" i="2"/>
  <c r="F35" i="2"/>
  <c r="D52" i="2"/>
  <c r="F52" i="2"/>
  <c r="E52" i="2"/>
  <c r="G52" i="2"/>
  <c r="D44" i="2"/>
  <c r="G44" i="2"/>
  <c r="C44" i="2"/>
  <c r="E44" i="2"/>
  <c r="F44" i="2"/>
  <c r="C41" i="2"/>
  <c r="G41" i="2"/>
  <c r="D41" i="2"/>
  <c r="E41" i="2"/>
  <c r="F41" i="2"/>
  <c r="F50" i="2"/>
  <c r="D50" i="2"/>
  <c r="E50" i="2"/>
  <c r="G50" i="2"/>
  <c r="G39" i="2"/>
  <c r="D39" i="2"/>
  <c r="C39" i="2"/>
  <c r="E39" i="2"/>
  <c r="F39" i="2"/>
  <c r="C43" i="2"/>
  <c r="G43" i="2"/>
  <c r="D43" i="2"/>
  <c r="E43" i="2"/>
  <c r="F43" i="2"/>
  <c r="D53" i="2"/>
  <c r="F53" i="2"/>
  <c r="E53" i="2"/>
  <c r="G53" i="2"/>
  <c r="D36" i="2"/>
  <c r="G36" i="2"/>
  <c r="F36" i="2"/>
  <c r="E36" i="2"/>
  <c r="C36" i="2"/>
  <c r="F48" i="2"/>
  <c r="G48" i="2"/>
  <c r="E48" i="2"/>
  <c r="D48" i="2"/>
  <c r="G37" i="2"/>
  <c r="F37" i="2"/>
  <c r="E37" i="2"/>
  <c r="D37" i="2"/>
  <c r="G38" i="2"/>
  <c r="F38" i="2"/>
  <c r="E38" i="2"/>
  <c r="D38" i="2"/>
  <c r="F42" i="2"/>
  <c r="C42" i="2"/>
  <c r="D42" i="2"/>
  <c r="E42" i="2"/>
  <c r="G42" i="2"/>
  <c r="C40" i="2"/>
  <c r="G40" i="2"/>
  <c r="D40" i="2"/>
  <c r="E40" i="2"/>
  <c r="F40" i="2"/>
  <c r="D47" i="2"/>
  <c r="G47" i="2"/>
  <c r="E47" i="2"/>
  <c r="F47" i="2"/>
  <c r="F49" i="2"/>
  <c r="D49" i="2"/>
  <c r="E49" i="2"/>
  <c r="G49" i="2"/>
  <c r="D51" i="2"/>
  <c r="F51" i="2"/>
  <c r="E51" i="2"/>
  <c r="G51" i="2"/>
  <c r="E46" i="2"/>
  <c r="E35" i="2"/>
  <c r="H46" i="2" l="1"/>
  <c r="K46" i="2" s="1"/>
  <c r="E34" i="2"/>
  <c r="H53" i="2"/>
  <c r="K53" i="2" s="1"/>
  <c r="H48" i="2"/>
  <c r="K48" i="2" s="1"/>
  <c r="H49" i="2"/>
  <c r="K49" i="2" s="1"/>
  <c r="C34" i="2"/>
  <c r="H37" i="2"/>
  <c r="K37" i="2" s="1"/>
  <c r="G34" i="2"/>
  <c r="G45" i="2"/>
  <c r="H51" i="2"/>
  <c r="K51" i="2" s="1"/>
  <c r="H52" i="2"/>
  <c r="K52" i="2" s="1"/>
  <c r="H47" i="2"/>
  <c r="K47" i="2" s="1"/>
  <c r="H35" i="2"/>
  <c r="K35" i="2" s="1"/>
  <c r="C45" i="2"/>
  <c r="C33" i="2" s="1"/>
  <c r="H38" i="2"/>
  <c r="K38" i="2" s="1"/>
  <c r="E45" i="2"/>
  <c r="D45" i="2"/>
  <c r="H50" i="2"/>
  <c r="K50" i="2" s="1"/>
  <c r="F34" i="2"/>
  <c r="F45" i="2"/>
  <c r="D34" i="2"/>
  <c r="E66" i="2" l="1"/>
  <c r="E33" i="2"/>
  <c r="E6" i="7" s="1"/>
  <c r="G33" i="2"/>
  <c r="F33" i="2"/>
  <c r="F6" i="7" s="1"/>
  <c r="G66" i="2"/>
  <c r="F66" i="2"/>
  <c r="H45" i="2"/>
  <c r="K45" i="2" s="1"/>
  <c r="C66" i="2"/>
  <c r="D33" i="2"/>
  <c r="D66" i="2"/>
  <c r="G6" i="7"/>
  <c r="H6" i="4"/>
  <c r="G6" i="4"/>
  <c r="H34" i="2"/>
  <c r="D6" i="4"/>
  <c r="C6" i="7"/>
  <c r="F6" i="4" l="1"/>
  <c r="H66" i="2"/>
  <c r="K66" i="2" s="1"/>
  <c r="H33" i="2"/>
  <c r="D20" i="3" s="1"/>
  <c r="K34" i="2"/>
  <c r="E6" i="4"/>
  <c r="C6" i="4" s="1"/>
  <c r="D6" i="7"/>
  <c r="D10" i="3" l="1"/>
  <c r="C10" i="3" s="1"/>
  <c r="D34" i="3"/>
  <c r="D37" i="3" s="1"/>
  <c r="D38" i="3" s="1"/>
  <c r="K33" i="2"/>
  <c r="C25" i="2"/>
  <c r="E11" i="3" l="1"/>
  <c r="E12" i="3" s="1"/>
  <c r="F3" i="4"/>
  <c r="F9" i="4" s="1"/>
  <c r="H11" i="3"/>
  <c r="H12" i="3" s="1"/>
  <c r="H13" i="3" s="1"/>
  <c r="G11" i="3"/>
  <c r="G12" i="3" s="1"/>
  <c r="G13" i="3" s="1"/>
  <c r="G22" i="3" s="1"/>
  <c r="D19" i="4"/>
  <c r="E38" i="3"/>
  <c r="H17" i="3"/>
  <c r="D4" i="7"/>
  <c r="D9" i="7" s="1"/>
  <c r="D11" i="7" s="1"/>
  <c r="D13" i="7" s="1"/>
  <c r="H3" i="4" l="1"/>
  <c r="H9" i="4" s="1"/>
  <c r="H12" i="4" s="1"/>
  <c r="D3" i="4"/>
  <c r="D9" i="4" s="1"/>
  <c r="G22" i="2"/>
  <c r="G4" i="7"/>
  <c r="G9" i="7" s="1"/>
  <c r="G11" i="7" s="1"/>
  <c r="G13" i="7" s="1"/>
  <c r="H16" i="4" s="1"/>
  <c r="E3" i="4"/>
  <c r="E9" i="4" s="1"/>
  <c r="E13" i="4" s="1"/>
  <c r="C22" i="2"/>
  <c r="D22" i="2"/>
  <c r="F22" i="2"/>
  <c r="D17" i="3"/>
  <c r="D11" i="3" s="1"/>
  <c r="D12" i="3" s="1"/>
  <c r="G3" i="4"/>
  <c r="G9" i="4" s="1"/>
  <c r="G13" i="4" s="1"/>
  <c r="H13" i="2"/>
  <c r="E17" i="3"/>
  <c r="G17" i="3"/>
  <c r="G23" i="3" s="1"/>
  <c r="C4" i="7"/>
  <c r="C9" i="7" s="1"/>
  <c r="C11" i="7" s="1"/>
  <c r="C13" i="7" s="1"/>
  <c r="E22" i="2"/>
  <c r="E4" i="7"/>
  <c r="E9" i="7" s="1"/>
  <c r="E11" i="7" s="1"/>
  <c r="E13" i="7" s="1"/>
  <c r="F16" i="4" s="1"/>
  <c r="F11" i="3"/>
  <c r="F12" i="3" s="1"/>
  <c r="F4" i="7"/>
  <c r="F9" i="7" s="1"/>
  <c r="F11" i="7" s="1"/>
  <c r="F13" i="7" s="1"/>
  <c r="F16" i="7" s="1"/>
  <c r="F17" i="3"/>
  <c r="E19" i="4"/>
  <c r="F38" i="3"/>
  <c r="H22" i="3"/>
  <c r="H23" i="3" s="1"/>
  <c r="E12" i="4"/>
  <c r="E16" i="4"/>
  <c r="D16" i="7"/>
  <c r="F12" i="4"/>
  <c r="F13" i="4"/>
  <c r="H13" i="4"/>
  <c r="G16" i="7" l="1"/>
  <c r="H22" i="2"/>
  <c r="G12" i="4"/>
  <c r="C3" i="4"/>
  <c r="E16" i="7"/>
  <c r="E17" i="7" s="1"/>
  <c r="C44" i="1"/>
  <c r="G16" i="4"/>
  <c r="C11" i="3"/>
  <c r="F19" i="4"/>
  <c r="G38" i="3"/>
  <c r="D17" i="7"/>
  <c r="F17" i="7"/>
  <c r="G17" i="7"/>
  <c r="C16" i="7"/>
  <c r="D16" i="4"/>
  <c r="C45" i="1"/>
  <c r="D13" i="4"/>
  <c r="C9" i="4"/>
  <c r="D12" i="4"/>
  <c r="C12" i="3"/>
  <c r="D13" i="3"/>
  <c r="E13" i="3" s="1"/>
  <c r="C12" i="4" l="1"/>
  <c r="H38" i="3"/>
  <c r="H19" i="4" s="1"/>
  <c r="G19" i="4"/>
  <c r="E22" i="3"/>
  <c r="E23" i="3" s="1"/>
  <c r="F13" i="3"/>
  <c r="F22" i="3" s="1"/>
  <c r="F23" i="3" s="1"/>
  <c r="H17" i="4"/>
  <c r="H18" i="4" s="1"/>
  <c r="H14" i="4"/>
  <c r="G18" i="7"/>
  <c r="G17" i="4"/>
  <c r="G18" i="4" s="1"/>
  <c r="G14" i="4"/>
  <c r="E17" i="4"/>
  <c r="E18" i="4" s="1"/>
  <c r="E14" i="4"/>
  <c r="F17" i="4"/>
  <c r="F18" i="4" s="1"/>
  <c r="F14" i="4"/>
  <c r="F18" i="7"/>
  <c r="D18" i="7"/>
  <c r="E18" i="7"/>
  <c r="C17" i="7"/>
  <c r="C18" i="7" s="1"/>
  <c r="C13" i="4"/>
  <c r="C16" i="4"/>
  <c r="C13" i="3"/>
  <c r="D22" i="3"/>
  <c r="D23" i="3" s="1"/>
  <c r="H15" i="4" l="1"/>
  <c r="F15" i="4"/>
  <c r="G15" i="4"/>
  <c r="E15" i="4"/>
  <c r="C46" i="1"/>
  <c r="D24" i="3"/>
  <c r="E24" i="3" s="1"/>
  <c r="D14" i="4"/>
  <c r="D17" i="4"/>
  <c r="C17" i="4" l="1"/>
  <c r="D18" i="4"/>
  <c r="C14" i="4"/>
  <c r="D15" i="4"/>
  <c r="C15" i="4" s="1"/>
  <c r="E22" i="4"/>
  <c r="E23" i="4" s="1"/>
  <c r="E25" i="4" s="1"/>
  <c r="F24" i="3"/>
  <c r="G24" i="3" l="1"/>
  <c r="D22" i="4"/>
  <c r="C18" i="4"/>
  <c r="D23" i="4" l="1"/>
  <c r="G22" i="4"/>
  <c r="G23" i="4" s="1"/>
  <c r="G25" i="4" s="1"/>
  <c r="H24" i="3"/>
  <c r="H22" i="4" s="1"/>
  <c r="H23" i="4" s="1"/>
  <c r="H25" i="4" s="1"/>
  <c r="F22" i="4"/>
  <c r="F23" i="4" s="1"/>
  <c r="F25" i="4" s="1"/>
  <c r="C19" i="4" l="1"/>
  <c r="C22" i="4"/>
  <c r="C23" i="4"/>
  <c r="C25" i="4" s="1"/>
  <c r="D25" i="4"/>
  <c r="C29" i="4"/>
  <c r="C43" i="1" s="1"/>
</calcChain>
</file>

<file path=xl/sharedStrings.xml><?xml version="1.0" encoding="utf-8"?>
<sst xmlns="http://schemas.openxmlformats.org/spreadsheetml/2006/main" count="294" uniqueCount="189">
  <si>
    <t>Provincia di Rimini</t>
  </si>
  <si>
    <t>DESCRIZIONE DEL PROGETTO</t>
  </si>
  <si>
    <t>Identificazione</t>
  </si>
  <si>
    <t xml:space="preserve"> </t>
  </si>
  <si>
    <t>Caratteristiche</t>
  </si>
  <si>
    <t>Comunale ed extracomunale</t>
  </si>
  <si>
    <t>Tempistica: progettazione, cantiere, gestione e vita utile del progetto</t>
  </si>
  <si>
    <t>Periodo previsto fino al rilascio della concessione (specificare se anni o mesi)</t>
  </si>
  <si>
    <t>Anno di inizio costruzione</t>
  </si>
  <si>
    <t>Anni di costruzione (min=1, max=6)</t>
  </si>
  <si>
    <t>Anno di fine costruzione</t>
  </si>
  <si>
    <t>Anno di inizio gestione</t>
  </si>
  <si>
    <t>Anni di gestione</t>
  </si>
  <si>
    <t>Anno di fine gestione                                                                                                                     01-01-2028</t>
  </si>
  <si>
    <t>Anno di fine ammortamento</t>
  </si>
  <si>
    <t>Anni di durata del progetto (costruzione + gestione)</t>
  </si>
  <si>
    <t>Profilo gestionale</t>
  </si>
  <si>
    <t>Modello di gestione</t>
  </si>
  <si>
    <t>MODALITA' INTEGRATA: realizzazione rete + fornitura servizi</t>
  </si>
  <si>
    <t>Regime proprietario del sedime e/o dell'opera</t>
  </si>
  <si>
    <t>DI PROPRIETA' DELLA SOCIETA'</t>
  </si>
  <si>
    <t xml:space="preserve">Motivazioni a sostegno della scelta del PPP </t>
  </si>
  <si>
    <t>REALIZZAZIONE OPERE O SERVIZI - ACCESSO A FONDI DI NATURA EUROPEA (PNRR)</t>
  </si>
  <si>
    <t>PRINCIPALI INDICATORI DI REDDITIVITA' E SOSTENIBILITA' ECONOMICO-FINANZIARIA</t>
  </si>
  <si>
    <t>TASSO DI SCONTO PER CALCOLO DEL VAN DI PROGETTO</t>
  </si>
  <si>
    <t>VAN OPERATIVO (Valore Attuale Netto del Progetto)</t>
  </si>
  <si>
    <t>IVA%</t>
  </si>
  <si>
    <t>Linea 1.2</t>
  </si>
  <si>
    <t xml:space="preserve">Linea 1.4.1 </t>
  </si>
  <si>
    <t>Linea 1.4.5</t>
  </si>
  <si>
    <t>Linea 1.4.4</t>
  </si>
  <si>
    <t>Linea 1.3.1</t>
  </si>
  <si>
    <t>Linea 1.4.3 PAGOPA</t>
  </si>
  <si>
    <t>Linea 1.4.3 APPIO</t>
  </si>
  <si>
    <t>TOTALE RICAVI DI GESTIONE</t>
  </si>
  <si>
    <t>DISINVESTIMENTI O ALTRI RICAVI NON CARATTERISTICI</t>
  </si>
  <si>
    <t>Networking e forniture</t>
  </si>
  <si>
    <t>Costi cablaggio</t>
  </si>
  <si>
    <t>Costi cablaggio - trasferta</t>
  </si>
  <si>
    <t>Switch</t>
  </si>
  <si>
    <t>Hardware sistemi client (PC)</t>
  </si>
  <si>
    <t>Join dominio</t>
  </si>
  <si>
    <t>Segmentazioni reti</t>
  </si>
  <si>
    <t>Costi firewall - manutenzione 5 anni</t>
  </si>
  <si>
    <t>Costi firewall - configurazione</t>
  </si>
  <si>
    <t>Costi firewall - trasferta</t>
  </si>
  <si>
    <t>Autenticazione a 2 fattori</t>
  </si>
  <si>
    <t>Monitoraggio zabbix</t>
  </si>
  <si>
    <t>Fornitura software</t>
  </si>
  <si>
    <t>Linea 1.4.1 - Servizi</t>
  </si>
  <si>
    <t>Linea 1.4.1 - Sito</t>
  </si>
  <si>
    <t>Linea 1.4.3 - PAGOPA</t>
  </si>
  <si>
    <t>Linea 1.4.3 - APPIO</t>
  </si>
  <si>
    <t>Ulteriori costi</t>
  </si>
  <si>
    <t>Asseverazione</t>
  </si>
  <si>
    <t>Oneri per la sicurezza</t>
  </si>
  <si>
    <t xml:space="preserve">TOTALE COSTI DI GESTIONE </t>
  </si>
  <si>
    <t>MANUTENZIONI STRAORDINARIE NON CAPITALIZZATE</t>
  </si>
  <si>
    <t>2.1</t>
  </si>
  <si>
    <t>2.2</t>
  </si>
  <si>
    <t>Parametri fiscali</t>
  </si>
  <si>
    <t>Aliquota % IVA su manutenzioni straordinarie</t>
  </si>
  <si>
    <t>Gestione IVA</t>
  </si>
  <si>
    <t>sommatoria</t>
  </si>
  <si>
    <t>-</t>
  </si>
  <si>
    <t>IVA su costi di esercizio</t>
  </si>
  <si>
    <t>+</t>
  </si>
  <si>
    <t>=</t>
  </si>
  <si>
    <t>Saldo IVA</t>
  </si>
  <si>
    <t>Posizione netta IVA</t>
  </si>
  <si>
    <t>clienti</t>
  </si>
  <si>
    <t>Costi di gestione</t>
  </si>
  <si>
    <t>IVA</t>
  </si>
  <si>
    <t>Aliquota % IVA su costi esercizio</t>
  </si>
  <si>
    <t>Aliquota % IVA su vendite</t>
  </si>
  <si>
    <t>3.1</t>
  </si>
  <si>
    <t>3.2</t>
  </si>
  <si>
    <t>3.3</t>
  </si>
  <si>
    <t>Canone di disponibilità</t>
  </si>
  <si>
    <t>2023-2024</t>
  </si>
  <si>
    <t>Flusso di Cassa Operativo</t>
  </si>
  <si>
    <t>Totale
(dati nominali)</t>
  </si>
  <si>
    <r>
      <t xml:space="preserve">+ / </t>
    </r>
    <r>
      <rPr>
        <b/>
        <sz val="12"/>
        <color indexed="10"/>
        <rFont val="Times New Roman"/>
        <family val="1"/>
      </rPr>
      <t>-</t>
    </r>
  </si>
  <si>
    <t>Costi per servizi</t>
  </si>
  <si>
    <r>
      <rPr>
        <b/>
        <u/>
        <sz val="12"/>
        <color indexed="56"/>
        <rFont val="Times New Roman"/>
        <family val="1"/>
      </rPr>
      <t>Altri costi</t>
    </r>
    <r>
      <rPr>
        <b/>
        <sz val="12"/>
        <color indexed="56"/>
        <rFont val="Times New Roman"/>
        <family val="1"/>
      </rPr>
      <t xml:space="preserve"> (manutenzioni straordinarie non capitalizzate)</t>
    </r>
  </si>
  <si>
    <t>a) Saldo (MOL/EBITDA + altri costi e ricavi non caratteristici)</t>
  </si>
  <si>
    <t xml:space="preserve">Reddito operativo aziendale (EBIT) </t>
  </si>
  <si>
    <t>Reddito operativo al netto di oneri e proventi fin.</t>
  </si>
  <si>
    <t xml:space="preserve">Imposte sul reddito netto operativo </t>
  </si>
  <si>
    <t>UTILE NETTO (o perdita)</t>
  </si>
  <si>
    <t>Coefficienti di attualizzazione</t>
  </si>
  <si>
    <t>Calcolo degli indici di redditività operativa</t>
  </si>
  <si>
    <t>Tasso di sconto per il calcolo del VAN</t>
  </si>
  <si>
    <t>VAN della gestione</t>
  </si>
  <si>
    <r>
      <rPr>
        <sz val="8"/>
        <rFont val="Calibri"/>
        <family val="2"/>
      </rPr>
      <t>←   Progetto valido se &gt;= a zero</t>
    </r>
  </si>
  <si>
    <t>Importi in Euro</t>
  </si>
  <si>
    <t>Accantonamenti</t>
  </si>
  <si>
    <t>Rata ammortamento</t>
  </si>
  <si>
    <t>4.1</t>
  </si>
  <si>
    <t>4.2</t>
  </si>
  <si>
    <t>MARGINE OPERATIVO NETTO</t>
  </si>
  <si>
    <t xml:space="preserve"> -</t>
  </si>
  <si>
    <t>Oneri finanziari</t>
  </si>
  <si>
    <t xml:space="preserve"> +</t>
  </si>
  <si>
    <t>Proventi finanziari</t>
  </si>
  <si>
    <t>COSTI - INVESTIMENTO</t>
  </si>
  <si>
    <t>TOTALI</t>
  </si>
  <si>
    <t>Switch - costi garanzia 5 anni</t>
  </si>
  <si>
    <t>RICAVI E DETTAGLIO CANONE DI DISPONIBILITA'</t>
  </si>
  <si>
    <t>COSTI - GESTIONE SERVIZI</t>
  </si>
  <si>
    <t>Consulenza progetto</t>
  </si>
  <si>
    <t>Gara</t>
  </si>
  <si>
    <t>Risorse esterne per PM</t>
  </si>
  <si>
    <t>Fideiussione</t>
  </si>
  <si>
    <t>Contributo fondi PNRR</t>
  </si>
  <si>
    <t>Costi per realizzazione progetto</t>
  </si>
  <si>
    <t>Altri costi (manutenzioni straordinarie non capitalizzate)</t>
  </si>
  <si>
    <t>+/-</t>
  </si>
  <si>
    <t>REDDITO OPERATIVO (EBIT)</t>
  </si>
  <si>
    <t xml:space="preserve">REDDITO OPERATIVO NETTO </t>
  </si>
  <si>
    <t>Imposte sul reddito operativo</t>
  </si>
  <si>
    <t>MARGINE OPERATIVO LORDO (EBITDA)</t>
  </si>
  <si>
    <t>MARGINE OPERATIVO LORDO - EBITDA (cumulato)</t>
  </si>
  <si>
    <t>REDDITO OPERATIVO AZIENDALE - EBIT (cumulato)</t>
  </si>
  <si>
    <t>UTILE NETTO (cumulato)</t>
  </si>
  <si>
    <t>1.1</t>
  </si>
  <si>
    <t>1.2</t>
  </si>
  <si>
    <t>1.3</t>
  </si>
  <si>
    <t>1.4</t>
  </si>
  <si>
    <t>1.5</t>
  </si>
  <si>
    <t>1. Titolo dell’intervento</t>
  </si>
  <si>
    <t>1. Localizzazione</t>
  </si>
  <si>
    <t>Canone per manutenzioni (Comuni + Provincia)</t>
  </si>
  <si>
    <t>Help desk - supporto 5 anni</t>
  </si>
  <si>
    <t>Antivirus - canone 5 anni</t>
  </si>
  <si>
    <t>Conto Economico</t>
  </si>
  <si>
    <t>Analisi finanziaria</t>
  </si>
  <si>
    <t>Risorse equity</t>
  </si>
  <si>
    <t>2. Bacino di utenza</t>
  </si>
  <si>
    <t>3. EVENTUALI NOTE SUL BACINO DI UTENZA:</t>
  </si>
  <si>
    <t>gestore</t>
  </si>
  <si>
    <r>
      <t>IVA sulle vendite</t>
    </r>
    <r>
      <rPr>
        <sz val="12"/>
        <color indexed="10"/>
        <rFont val="Times New Roman"/>
        <family val="1"/>
      </rPr>
      <t xml:space="preserve"> </t>
    </r>
  </si>
  <si>
    <t>5+1</t>
  </si>
  <si>
    <t>Costo investimento</t>
  </si>
  <si>
    <t>Totale contribuzione pubblica su canoni di manutenzione</t>
  </si>
  <si>
    <t>EBIT</t>
  </si>
  <si>
    <t>Imposte figurative</t>
  </si>
  <si>
    <t>NOPLAT (net operating profit less adjusted tax)</t>
  </si>
  <si>
    <t>Ammortamenti/accantonamenti</t>
  </si>
  <si>
    <t>NOPLAT+ammortamenti</t>
  </si>
  <si>
    <t>Flusso di cassa operativo</t>
  </si>
  <si>
    <t xml:space="preserve">Flussi di cassa attualizzati </t>
  </si>
  <si>
    <t>49% su costi totale d'investimento</t>
  </si>
  <si>
    <t>nota: la prima annualità viene considerata doppia in virtù della necessità di procedere con l'affidamento entro agosto 2023</t>
  </si>
  <si>
    <t>Project Financing - SPECIFICA ENTRATE</t>
  </si>
  <si>
    <t>Project Financing - SPECIFICA COSTI</t>
  </si>
  <si>
    <t>PARTENARIATO PUBBLICO-PRIVATO PER LA GESTIONE DI SERVIZI INFORMATICI INTEGRATI CON CORRELATI INTERVENTI SU INFRASTRUTTURE DI RETE</t>
  </si>
  <si>
    <t>Dettaglio componenti ammortamento</t>
  </si>
  <si>
    <t>Voce da bilancio APRA</t>
  </si>
  <si>
    <t>% allocazione su progetto</t>
  </si>
  <si>
    <t>Voce da spec. Costi</t>
  </si>
  <si>
    <t>Immobilizzazioni immateriali</t>
  </si>
  <si>
    <t>Immobilizzazioni materiali</t>
  </si>
  <si>
    <t>Altri beni</t>
  </si>
  <si>
    <t>Hardware (PC)</t>
  </si>
  <si>
    <t>% Aliq.</t>
  </si>
  <si>
    <t>Totali</t>
  </si>
  <si>
    <t>NOTA: si specifica che l'imputazione è stata calcolata forfettariamente ipotizzando delle percentuali di allocazione applicate ai dati reperiti dal bilancio APRA sulla base della grandezza del progetto</t>
  </si>
  <si>
    <t>23/24</t>
  </si>
  <si>
    <t>25</t>
  </si>
  <si>
    <t>26</t>
  </si>
  <si>
    <t>27</t>
  </si>
  <si>
    <t>28</t>
  </si>
  <si>
    <t>da agosto 23</t>
  </si>
  <si>
    <t>Variazione flusso finanziario di cassa</t>
  </si>
  <si>
    <t>Variazione del flusso finanziario di cassa</t>
  </si>
  <si>
    <t>Risorse PNRR</t>
  </si>
  <si>
    <t>Costi investimento</t>
  </si>
  <si>
    <t>Totale flusso</t>
  </si>
  <si>
    <t>flusso</t>
  </si>
  <si>
    <t>Parametri, calcolo IVA e flusso finanziario</t>
  </si>
  <si>
    <t>Check</t>
  </si>
  <si>
    <t>mesi x anno</t>
  </si>
  <si>
    <t>annualità</t>
  </si>
  <si>
    <t>Canone per manutenzioni (Comuni, Unioni e Provincia)</t>
  </si>
  <si>
    <t>Posizione netta iva</t>
  </si>
  <si>
    <t>Allineamento con saldo (MOL/EBITDA + altri costi e ricavi non caratteristici)</t>
  </si>
  <si>
    <t xml:space="preserve">BTP A 5 ANNI </t>
  </si>
  <si>
    <t>per singola annualità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</si>
</sst>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#,##0.00\ &quot;€&quot;;[Red]\-#,##0.00\ &quot;€&quot;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_ ;[Red]\-#,##0\ "/>
    <numFmt numFmtId="165" formatCode="0_ ;[Red]\-0\ "/>
    <numFmt numFmtId="166" formatCode="#,##0_ ;\-#,##0\ "/>
    <numFmt numFmtId="167" formatCode="&quot;€&quot;\ #,##0.00"/>
    <numFmt numFmtId="168" formatCode="_-&quot;€&quot;\ * #,##0.00_-;\-&quot;€&quot;\ * #,##0.00_-;_-&quot;€&quot;\ * &quot;-&quot;??_-;_-@_-"/>
    <numFmt numFmtId="169" formatCode="0.0%"/>
    <numFmt numFmtId="170" formatCode="&quot;€&quot;\ #,##0;[Red]\-&quot;€&quot;\ #,##0"/>
    <numFmt numFmtId="171" formatCode="_-* #,##0_-;\-* #,##0_-;_-* &quot;-&quot;??_-;_-@_-"/>
    <numFmt numFmtId="172" formatCode="#,##0.00_ ;[Red]\-#,##0.00\ "/>
    <numFmt numFmtId="173" formatCode="0.00_ ;[Red]\-0.00\ "/>
    <numFmt numFmtId="174" formatCode="_-* #,##0_-;\-* #,##0_-;_-* &quot;-&quot;?_-;_-@_-"/>
    <numFmt numFmtId="175" formatCode="_-* #,##0.00\ _€_-;\-* #,##0.00\ _€_-;_-* &quot;-&quot;??\ _€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"/>
      <family val="1"/>
    </font>
    <font>
      <b/>
      <sz val="20"/>
      <color indexed="9"/>
      <name val="Times New Roman"/>
      <family val="1"/>
    </font>
    <font>
      <b/>
      <sz val="28"/>
      <name val="Times New Roman"/>
      <family val="1"/>
    </font>
    <font>
      <u/>
      <sz val="10"/>
      <color indexed="12"/>
      <name val="Arial"/>
      <family val="2"/>
    </font>
    <font>
      <b/>
      <u/>
      <sz val="12"/>
      <color indexed="12"/>
      <name val="Times New Roman"/>
      <family val="1"/>
    </font>
    <font>
      <b/>
      <sz val="12"/>
      <color rgb="FFFFFFFF"/>
      <name val="Times New Roman"/>
      <family val="1"/>
    </font>
    <font>
      <b/>
      <sz val="12"/>
      <color indexed="9"/>
      <name val="Times New Roman"/>
      <family val="1"/>
    </font>
    <font>
      <b/>
      <i/>
      <sz val="12"/>
      <name val="Times New Roman"/>
      <family val="1"/>
    </font>
    <font>
      <b/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36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indexed="8"/>
      <name val="Times New Roman"/>
      <family val="1"/>
    </font>
    <font>
      <sz val="12"/>
      <color theme="8" tint="-0.499984740745262"/>
      <name val="Times New Roman"/>
      <family val="1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b/>
      <sz val="1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indexed="10"/>
      <name val="Times New Roman"/>
      <family val="1"/>
    </font>
    <font>
      <i/>
      <sz val="12"/>
      <name val="Times New Roman"/>
      <family val="1"/>
    </font>
    <font>
      <b/>
      <i/>
      <sz val="10"/>
      <color rgb="FFFF000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i/>
      <sz val="12"/>
      <color rgb="FFFF0000"/>
      <name val="Times New Roman"/>
      <family val="1"/>
    </font>
    <font>
      <b/>
      <sz val="12"/>
      <name val="Calibri"/>
      <family val="2"/>
      <scheme val="minor"/>
    </font>
    <font>
      <b/>
      <sz val="26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56"/>
      <name val="Times New Roman"/>
      <family val="1"/>
    </font>
    <font>
      <b/>
      <u/>
      <sz val="12"/>
      <color indexed="56"/>
      <name val="Times New Roman"/>
      <family val="1"/>
    </font>
    <font>
      <i/>
      <sz val="11"/>
      <name val="Times New Roman"/>
      <family val="1"/>
    </font>
    <font>
      <b/>
      <sz val="11"/>
      <color theme="1"/>
      <name val="Calibri"/>
      <family val="2"/>
    </font>
    <font>
      <i/>
      <sz val="8"/>
      <name val="Times New Roman"/>
      <family val="1"/>
    </font>
    <font>
      <b/>
      <i/>
      <sz val="18"/>
      <color theme="0"/>
      <name val="Times New Roman"/>
      <family val="1"/>
    </font>
    <font>
      <sz val="8"/>
      <name val="Calibri"/>
      <family val="2"/>
      <scheme val="minor"/>
    </font>
    <font>
      <b/>
      <sz val="12"/>
      <color indexed="18"/>
      <name val="Times New Roman"/>
      <family val="1"/>
    </font>
    <font>
      <sz val="8"/>
      <name val="Calibri"/>
      <family val="2"/>
    </font>
    <font>
      <sz val="11"/>
      <name val="Calibri"/>
      <family val="2"/>
      <scheme val="minor"/>
    </font>
    <font>
      <sz val="8"/>
      <name val="Times New Roman"/>
      <family val="1"/>
    </font>
    <font>
      <b/>
      <sz val="8"/>
      <color rgb="FFFF0000"/>
      <name val="Times New Roman"/>
      <family val="1"/>
    </font>
    <font>
      <b/>
      <sz val="11"/>
      <color indexed="18"/>
      <name val="Times New Roman"/>
      <family val="1"/>
    </font>
    <font>
      <b/>
      <sz val="11"/>
      <color theme="1"/>
      <name val="Times New Roman"/>
      <family val="1"/>
    </font>
    <font>
      <b/>
      <sz val="28"/>
      <color theme="1"/>
      <name val="Times New Roman"/>
      <family val="1"/>
    </font>
    <font>
      <i/>
      <sz val="9"/>
      <name val="Times New Roman"/>
      <family val="1"/>
    </font>
    <font>
      <b/>
      <sz val="12"/>
      <color indexed="49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20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37E98C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63634"/>
        <bgColor rgb="FF000000"/>
      </patternFill>
    </fill>
    <fill>
      <patternFill patternType="solid">
        <fgColor rgb="FF33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8" fontId="2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4">
    <xf numFmtId="0" fontId="0" fillId="0" borderId="0" xfId="0"/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0" fillId="0" borderId="12" xfId="4" applyFont="1" applyBorder="1" applyAlignment="1" applyProtection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4" fillId="0" borderId="9" xfId="0" applyFont="1" applyBorder="1"/>
    <xf numFmtId="0" fontId="5" fillId="0" borderId="0" xfId="0" applyFont="1" applyAlignment="1">
      <alignment vertical="center"/>
    </xf>
    <xf numFmtId="0" fontId="4" fillId="0" borderId="14" xfId="0" applyFont="1" applyBorder="1"/>
    <xf numFmtId="0" fontId="11" fillId="5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4" fillId="7" borderId="18" xfId="0" applyFont="1" applyFill="1" applyBorder="1"/>
    <xf numFmtId="0" fontId="5" fillId="0" borderId="20" xfId="0" applyFont="1" applyBorder="1" applyAlignment="1">
      <alignment vertical="center"/>
    </xf>
    <xf numFmtId="0" fontId="5" fillId="4" borderId="2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horizontal="center" vertical="top"/>
    </xf>
    <xf numFmtId="0" fontId="4" fillId="0" borderId="18" xfId="0" applyFont="1" applyBorder="1"/>
    <xf numFmtId="0" fontId="6" fillId="6" borderId="16" xfId="0" applyFont="1" applyFill="1" applyBorder="1" applyAlignment="1" applyProtection="1">
      <alignment horizontal="left" vertical="center"/>
      <protection hidden="1"/>
    </xf>
    <xf numFmtId="0" fontId="6" fillId="6" borderId="17" xfId="0" applyFont="1" applyFill="1" applyBorder="1" applyAlignment="1" applyProtection="1">
      <alignment horizontal="left" vertical="center"/>
      <protection hidden="1"/>
    </xf>
    <xf numFmtId="0" fontId="11" fillId="8" borderId="18" xfId="0" applyFont="1" applyFill="1" applyBorder="1" applyAlignment="1">
      <alignment horizontal="center" vertical="center"/>
    </xf>
    <xf numFmtId="0" fontId="5" fillId="7" borderId="27" xfId="0" applyFont="1" applyFill="1" applyBorder="1" applyAlignment="1" applyProtection="1">
      <alignment horizontal="left" vertical="center"/>
      <protection hidden="1"/>
    </xf>
    <xf numFmtId="164" fontId="5" fillId="4" borderId="28" xfId="0" applyNumberFormat="1" applyFont="1" applyFill="1" applyBorder="1" applyAlignment="1" applyProtection="1">
      <alignment horizontal="center" vertical="center"/>
      <protection hidden="1"/>
    </xf>
    <xf numFmtId="0" fontId="5" fillId="7" borderId="20" xfId="0" applyFont="1" applyFill="1" applyBorder="1" applyAlignment="1" applyProtection="1">
      <alignment horizontal="left" vertical="center"/>
      <protection hidden="1"/>
    </xf>
    <xf numFmtId="0" fontId="5" fillId="7" borderId="21" xfId="0" applyFont="1" applyFill="1" applyBorder="1" applyAlignment="1" applyProtection="1">
      <alignment horizontal="center" vertical="center"/>
      <protection hidden="1"/>
    </xf>
    <xf numFmtId="164" fontId="5" fillId="4" borderId="21" xfId="0" applyNumberFormat="1" applyFont="1" applyFill="1" applyBorder="1" applyAlignment="1" applyProtection="1">
      <alignment horizontal="center" vertical="center"/>
      <protection hidden="1"/>
    </xf>
    <xf numFmtId="0" fontId="5" fillId="4" borderId="21" xfId="0" applyFont="1" applyFill="1" applyBorder="1" applyAlignment="1" applyProtection="1">
      <alignment horizontal="center" vertical="center"/>
      <protection hidden="1"/>
    </xf>
    <xf numFmtId="165" fontId="5" fillId="7" borderId="21" xfId="0" applyNumberFormat="1" applyFont="1" applyFill="1" applyBorder="1" applyAlignment="1" applyProtection="1">
      <alignment horizontal="center" vertical="center"/>
      <protection hidden="1"/>
    </xf>
    <xf numFmtId="164" fontId="14" fillId="4" borderId="21" xfId="1" applyNumberFormat="1" applyFont="1" applyFill="1" applyBorder="1" applyAlignment="1" applyProtection="1">
      <alignment horizontal="center" vertical="center"/>
      <protection locked="0"/>
    </xf>
    <xf numFmtId="0" fontId="4" fillId="7" borderId="18" xfId="0" applyFont="1" applyFill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4" borderId="25" xfId="1" applyNumberFormat="1" applyFont="1" applyFill="1" applyBorder="1" applyAlignment="1" applyProtection="1">
      <alignment horizontal="center" vertical="center"/>
      <protection locked="0"/>
    </xf>
    <xf numFmtId="164" fontId="5" fillId="4" borderId="28" xfId="1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vertical="center"/>
    </xf>
    <xf numFmtId="165" fontId="5" fillId="0" borderId="29" xfId="1" applyNumberFormat="1" applyFont="1" applyFill="1" applyBorder="1" applyAlignment="1" applyProtection="1">
      <alignment horizontal="center" vertical="center"/>
      <protection hidden="1"/>
    </xf>
    <xf numFmtId="165" fontId="5" fillId="0" borderId="21" xfId="1" applyNumberFormat="1" applyFont="1" applyFill="1" applyBorder="1" applyAlignment="1" applyProtection="1">
      <alignment horizontal="center" vertical="center"/>
      <protection locked="0"/>
    </xf>
    <xf numFmtId="166" fontId="5" fillId="7" borderId="18" xfId="1" applyNumberFormat="1" applyFont="1" applyFill="1" applyBorder="1" applyAlignment="1">
      <alignment horizontal="center" vertical="center"/>
    </xf>
    <xf numFmtId="0" fontId="5" fillId="4" borderId="21" xfId="1" applyNumberFormat="1" applyFont="1" applyFill="1" applyBorder="1" applyAlignment="1" applyProtection="1">
      <alignment horizontal="center" vertical="center"/>
      <protection locked="0"/>
    </xf>
    <xf numFmtId="165" fontId="5" fillId="0" borderId="21" xfId="1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Border="1" applyAlignment="1">
      <alignment vertical="center"/>
    </xf>
    <xf numFmtId="0" fontId="5" fillId="0" borderId="27" xfId="0" applyFont="1" applyBorder="1" applyAlignment="1">
      <alignment horizontal="justify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justify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4" fillId="7" borderId="0" xfId="0" applyFont="1" applyFill="1"/>
    <xf numFmtId="0" fontId="4" fillId="0" borderId="0" xfId="0" applyFont="1"/>
    <xf numFmtId="10" fontId="5" fillId="0" borderId="21" xfId="3" applyNumberFormat="1" applyFont="1" applyBorder="1" applyAlignment="1">
      <alignment horizontal="center" vertical="center"/>
    </xf>
    <xf numFmtId="167" fontId="5" fillId="0" borderId="21" xfId="1" applyNumberFormat="1" applyFont="1" applyBorder="1" applyAlignment="1">
      <alignment horizontal="center" vertical="center"/>
    </xf>
    <xf numFmtId="0" fontId="5" fillId="0" borderId="20" xfId="0" applyFont="1" applyBorder="1" applyAlignment="1" applyProtection="1">
      <alignment vertical="center"/>
      <protection hidden="1"/>
    </xf>
    <xf numFmtId="167" fontId="5" fillId="0" borderId="21" xfId="0" applyNumberFormat="1" applyFont="1" applyBorder="1" applyAlignment="1">
      <alignment horizontal="center" vertical="center"/>
    </xf>
    <xf numFmtId="0" fontId="5" fillId="0" borderId="32" xfId="0" applyFont="1" applyBorder="1" applyAlignment="1" applyProtection="1">
      <alignment vertical="center"/>
      <protection hidden="1"/>
    </xf>
    <xf numFmtId="167" fontId="5" fillId="0" borderId="33" xfId="0" applyNumberFormat="1" applyFont="1" applyBorder="1" applyAlignment="1">
      <alignment horizontal="center" vertical="center"/>
    </xf>
    <xf numFmtId="0" fontId="5" fillId="11" borderId="37" xfId="0" applyFont="1" applyFill="1" applyBorder="1" applyAlignment="1">
      <alignment horizontal="center" vertical="center"/>
    </xf>
    <xf numFmtId="0" fontId="5" fillId="11" borderId="38" xfId="0" applyFont="1" applyFill="1" applyBorder="1" applyAlignment="1">
      <alignment horizontal="center" vertical="center"/>
    </xf>
    <xf numFmtId="0" fontId="18" fillId="11" borderId="36" xfId="0" applyFont="1" applyFill="1" applyBorder="1" applyAlignment="1">
      <alignment horizontal="center"/>
    </xf>
    <xf numFmtId="0" fontId="19" fillId="13" borderId="42" xfId="0" applyFont="1" applyFill="1" applyBorder="1" applyAlignment="1">
      <alignment horizontal="left" vertical="center"/>
    </xf>
    <xf numFmtId="0" fontId="4" fillId="13" borderId="42" xfId="0" applyFont="1" applyFill="1" applyBorder="1" applyAlignment="1">
      <alignment horizontal="center" vertical="center"/>
    </xf>
    <xf numFmtId="167" fontId="21" fillId="0" borderId="20" xfId="5" applyNumberFormat="1" applyFont="1" applyFill="1" applyBorder="1" applyAlignment="1" applyProtection="1">
      <alignment vertical="center"/>
      <protection locked="0"/>
    </xf>
    <xf numFmtId="167" fontId="21" fillId="0" borderId="46" xfId="5" applyNumberFormat="1" applyFont="1" applyFill="1" applyBorder="1" applyAlignment="1" applyProtection="1">
      <alignment vertical="center"/>
      <protection locked="0"/>
    </xf>
    <xf numFmtId="0" fontId="19" fillId="13" borderId="22" xfId="0" applyFont="1" applyFill="1" applyBorder="1" applyAlignment="1">
      <alignment horizontal="left" vertical="center"/>
    </xf>
    <xf numFmtId="0" fontId="4" fillId="13" borderId="22" xfId="0" applyFont="1" applyFill="1" applyBorder="1" applyAlignment="1">
      <alignment horizontal="left" vertical="center"/>
    </xf>
    <xf numFmtId="167" fontId="21" fillId="13" borderId="20" xfId="5" applyNumberFormat="1" applyFont="1" applyFill="1" applyBorder="1" applyAlignment="1" applyProtection="1">
      <alignment vertical="center"/>
      <protection locked="0"/>
    </xf>
    <xf numFmtId="167" fontId="21" fillId="13" borderId="46" xfId="5" applyNumberFormat="1" applyFont="1" applyFill="1" applyBorder="1" applyAlignment="1" applyProtection="1">
      <alignment vertical="center"/>
      <protection locked="0"/>
    </xf>
    <xf numFmtId="0" fontId="4" fillId="13" borderId="15" xfId="0" applyFont="1" applyFill="1" applyBorder="1" applyAlignment="1">
      <alignment horizontal="center"/>
    </xf>
    <xf numFmtId="167" fontId="21" fillId="0" borderId="22" xfId="5" applyNumberFormat="1" applyFont="1" applyFill="1" applyBorder="1" applyAlignment="1" applyProtection="1">
      <alignment vertical="center"/>
      <protection locked="0"/>
    </xf>
    <xf numFmtId="167" fontId="21" fillId="0" borderId="24" xfId="5" applyNumberFormat="1" applyFont="1" applyFill="1" applyBorder="1" applyAlignment="1" applyProtection="1">
      <alignment vertical="center"/>
      <protection locked="0"/>
    </xf>
    <xf numFmtId="167" fontId="21" fillId="0" borderId="34" xfId="5" applyNumberFormat="1" applyFont="1" applyFill="1" applyBorder="1" applyAlignment="1" applyProtection="1">
      <alignment vertical="center"/>
      <protection locked="0"/>
    </xf>
    <xf numFmtId="2" fontId="4" fillId="13" borderId="16" xfId="0" applyNumberFormat="1" applyFont="1" applyFill="1" applyBorder="1" applyAlignment="1">
      <alignment horizontal="center" vertical="center"/>
    </xf>
    <xf numFmtId="0" fontId="4" fillId="13" borderId="36" xfId="0" applyFont="1" applyFill="1" applyBorder="1" applyAlignment="1">
      <alignment horizontal="left" vertical="center"/>
    </xf>
    <xf numFmtId="167" fontId="21" fillId="0" borderId="30" xfId="5" applyNumberFormat="1" applyFont="1" applyFill="1" applyBorder="1" applyAlignment="1" applyProtection="1">
      <alignment vertical="center"/>
      <protection locked="0"/>
    </xf>
    <xf numFmtId="167" fontId="21" fillId="0" borderId="55" xfId="5" applyNumberFormat="1" applyFont="1" applyFill="1" applyBorder="1" applyAlignment="1" applyProtection="1">
      <alignment vertical="center"/>
      <protection locked="0"/>
    </xf>
    <xf numFmtId="0" fontId="11" fillId="5" borderId="15" xfId="0" quotePrefix="1" applyFont="1" applyFill="1" applyBorder="1" applyAlignment="1">
      <alignment horizontal="center" vertical="center"/>
    </xf>
    <xf numFmtId="0" fontId="25" fillId="14" borderId="16" xfId="0" applyFont="1" applyFill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2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2" fillId="14" borderId="59" xfId="0" applyFont="1" applyFill="1" applyBorder="1" applyAlignment="1" applyProtection="1">
      <alignment horizontal="center" vertical="center"/>
      <protection hidden="1"/>
    </xf>
    <xf numFmtId="0" fontId="12" fillId="14" borderId="59" xfId="0" applyFont="1" applyFill="1" applyBorder="1" applyAlignment="1" applyProtection="1">
      <alignment vertical="center"/>
      <protection hidden="1"/>
    </xf>
    <xf numFmtId="0" fontId="12" fillId="14" borderId="17" xfId="0" applyFont="1" applyFill="1" applyBorder="1" applyAlignment="1" applyProtection="1">
      <alignment vertical="center"/>
      <protection hidden="1"/>
    </xf>
    <xf numFmtId="0" fontId="27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vertical="center"/>
      <protection hidden="1"/>
    </xf>
    <xf numFmtId="0" fontId="5" fillId="0" borderId="36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left" vertical="center"/>
      <protection hidden="1"/>
    </xf>
    <xf numFmtId="41" fontId="4" fillId="0" borderId="0" xfId="2" applyFont="1" applyFill="1" applyAlignment="1" applyProtection="1">
      <alignment horizontal="center" vertical="center"/>
      <protection hidden="1"/>
    </xf>
    <xf numFmtId="0" fontId="5" fillId="0" borderId="36" xfId="2" applyNumberFormat="1" applyFont="1" applyFill="1" applyBorder="1" applyAlignment="1" applyProtection="1">
      <alignment horizontal="left" vertical="top"/>
      <protection hidden="1"/>
    </xf>
    <xf numFmtId="164" fontId="13" fillId="0" borderId="0" xfId="2" applyNumberFormat="1" applyFont="1" applyFill="1" applyBorder="1" applyAlignment="1" applyProtection="1">
      <alignment vertical="center"/>
      <protection hidden="1"/>
    </xf>
    <xf numFmtId="171" fontId="31" fillId="0" borderId="0" xfId="1" applyNumberFormat="1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36" xfId="0" applyFont="1" applyBorder="1" applyAlignment="1" applyProtection="1">
      <alignment vertical="center" wrapText="1"/>
      <protection hidden="1"/>
    </xf>
    <xf numFmtId="49" fontId="4" fillId="0" borderId="54" xfId="0" applyNumberFormat="1" applyFont="1" applyBorder="1" applyAlignment="1" applyProtection="1">
      <alignment horizontal="left" vertical="center"/>
      <protection hidden="1"/>
    </xf>
    <xf numFmtId="4" fontId="5" fillId="15" borderId="42" xfId="3" applyNumberFormat="1" applyFont="1" applyFill="1" applyBorder="1" applyAlignment="1" applyProtection="1">
      <alignment horizontal="center" vertical="center"/>
      <protection hidden="1"/>
    </xf>
    <xf numFmtId="170" fontId="4" fillId="0" borderId="1" xfId="0" applyNumberFormat="1" applyFont="1" applyBorder="1" applyAlignment="1" applyProtection="1">
      <alignment vertical="center"/>
      <protection hidden="1"/>
    </xf>
    <xf numFmtId="170" fontId="4" fillId="0" borderId="2" xfId="0" applyNumberFormat="1" applyFont="1" applyBorder="1" applyAlignment="1" applyProtection="1">
      <alignment vertical="center"/>
      <protection hidden="1"/>
    </xf>
    <xf numFmtId="170" fontId="4" fillId="0" borderId="3" xfId="0" applyNumberFormat="1" applyFont="1" applyBorder="1" applyAlignment="1" applyProtection="1">
      <alignment vertical="center"/>
      <protection hidden="1"/>
    </xf>
    <xf numFmtId="170" fontId="4" fillId="0" borderId="4" xfId="0" applyNumberFormat="1" applyFont="1" applyBorder="1" applyAlignment="1" applyProtection="1">
      <alignment vertical="center"/>
      <protection hidden="1"/>
    </xf>
    <xf numFmtId="170" fontId="4" fillId="0" borderId="0" xfId="0" applyNumberFormat="1" applyFont="1" applyAlignment="1" applyProtection="1">
      <alignment vertical="center"/>
      <protection hidden="1"/>
    </xf>
    <xf numFmtId="170" fontId="4" fillId="0" borderId="5" xfId="0" applyNumberFormat="1" applyFont="1" applyBorder="1" applyAlignment="1" applyProtection="1">
      <alignment vertical="center"/>
      <protection hidden="1"/>
    </xf>
    <xf numFmtId="170" fontId="5" fillId="0" borderId="36" xfId="2" applyNumberFormat="1" applyFont="1" applyFill="1" applyBorder="1" applyAlignment="1" applyProtection="1">
      <alignment vertical="center"/>
      <protection hidden="1"/>
    </xf>
    <xf numFmtId="170" fontId="4" fillId="0" borderId="4" xfId="0" applyNumberFormat="1" applyFont="1" applyBorder="1" applyAlignment="1" applyProtection="1">
      <alignment horizontal="right" vertical="center"/>
      <protection hidden="1"/>
    </xf>
    <xf numFmtId="170" fontId="4" fillId="0" borderId="5" xfId="0" applyNumberFormat="1" applyFont="1" applyBorder="1" applyAlignment="1" applyProtection="1">
      <alignment horizontal="right" vertical="center"/>
      <protection hidden="1"/>
    </xf>
    <xf numFmtId="170" fontId="4" fillId="0" borderId="6" xfId="0" applyNumberFormat="1" applyFont="1" applyBorder="1" applyAlignment="1" applyProtection="1">
      <alignment horizontal="right" vertical="center"/>
      <protection hidden="1"/>
    </xf>
    <xf numFmtId="170" fontId="4" fillId="0" borderId="7" xfId="0" applyNumberFormat="1" applyFont="1" applyBorder="1" applyAlignment="1" applyProtection="1">
      <alignment horizontal="right" vertical="center"/>
      <protection hidden="1"/>
    </xf>
    <xf numFmtId="170" fontId="4" fillId="0" borderId="8" xfId="0" applyNumberFormat="1" applyFont="1" applyBorder="1" applyAlignment="1" applyProtection="1">
      <alignment horizontal="right" vertical="center"/>
      <protection hidden="1"/>
    </xf>
    <xf numFmtId="0" fontId="37" fillId="4" borderId="11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right" wrapText="1"/>
      <protection hidden="1"/>
    </xf>
    <xf numFmtId="0" fontId="27" fillId="0" borderId="0" xfId="0" applyFont="1" applyAlignment="1" applyProtection="1">
      <alignment vertical="top" wrapText="1"/>
      <protection hidden="1"/>
    </xf>
    <xf numFmtId="0" fontId="6" fillId="17" borderId="36" xfId="0" quotePrefix="1" applyFont="1" applyFill="1" applyBorder="1" applyAlignment="1">
      <alignment horizontal="center" vertical="center"/>
    </xf>
    <xf numFmtId="0" fontId="17" fillId="18" borderId="59" xfId="0" applyFont="1" applyFill="1" applyBorder="1" applyAlignment="1" applyProtection="1">
      <alignment vertical="center"/>
      <protection hidden="1"/>
    </xf>
    <xf numFmtId="0" fontId="17" fillId="18" borderId="36" xfId="0" applyFont="1" applyFill="1" applyBorder="1" applyAlignment="1" applyProtection="1">
      <alignment horizontal="center" vertical="top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170" fontId="4" fillId="0" borderId="0" xfId="2" applyNumberFormat="1" applyFont="1" applyFill="1" applyBorder="1" applyAlignment="1" applyProtection="1">
      <alignment vertical="center"/>
      <protection hidden="1"/>
    </xf>
    <xf numFmtId="0" fontId="5" fillId="0" borderId="54" xfId="0" applyFont="1" applyBorder="1" applyAlignment="1" applyProtection="1">
      <alignment horizontal="center" vertical="center"/>
      <protection hidden="1"/>
    </xf>
    <xf numFmtId="49" fontId="4" fillId="0" borderId="0" xfId="0" applyNumberFormat="1" applyFont="1" applyAlignment="1" applyProtection="1">
      <alignment vertical="center"/>
      <protection hidden="1"/>
    </xf>
    <xf numFmtId="0" fontId="5" fillId="0" borderId="54" xfId="0" quotePrefix="1" applyFont="1" applyBorder="1" applyAlignment="1" applyProtection="1">
      <alignment horizontal="center" vertical="center"/>
      <protection hidden="1"/>
    </xf>
    <xf numFmtId="0" fontId="21" fillId="0" borderId="0" xfId="0" applyFont="1" applyProtection="1">
      <protection hidden="1"/>
    </xf>
    <xf numFmtId="49" fontId="39" fillId="0" borderId="0" xfId="0" applyNumberFormat="1" applyFont="1" applyProtection="1">
      <protection hidden="1"/>
    </xf>
    <xf numFmtId="0" fontId="17" fillId="19" borderId="36" xfId="0" applyFont="1" applyFill="1" applyBorder="1" applyAlignment="1" applyProtection="1">
      <alignment horizontal="center" vertical="center"/>
      <protection hidden="1"/>
    </xf>
    <xf numFmtId="49" fontId="17" fillId="19" borderId="59" xfId="0" applyNumberFormat="1" applyFont="1" applyFill="1" applyBorder="1" applyAlignment="1" applyProtection="1">
      <alignment vertical="center"/>
      <protection hidden="1"/>
    </xf>
    <xf numFmtId="170" fontId="17" fillId="19" borderId="36" xfId="0" applyNumberFormat="1" applyFont="1" applyFill="1" applyBorder="1" applyAlignment="1" applyProtection="1">
      <alignment vertical="center"/>
      <protection hidden="1"/>
    </xf>
    <xf numFmtId="170" fontId="17" fillId="0" borderId="0" xfId="0" applyNumberFormat="1" applyFont="1" applyAlignment="1" applyProtection="1">
      <alignment vertical="center"/>
      <protection hidden="1"/>
    </xf>
    <xf numFmtId="170" fontId="31" fillId="0" borderId="0" xfId="0" applyNumberFormat="1" applyFont="1" applyAlignment="1" applyProtection="1">
      <alignment vertical="center"/>
      <protection hidden="1"/>
    </xf>
    <xf numFmtId="41" fontId="31" fillId="20" borderId="54" xfId="0" applyNumberFormat="1" applyFont="1" applyFill="1" applyBorder="1" applyAlignment="1" applyProtection="1">
      <alignment horizontal="right" vertical="center"/>
      <protection hidden="1"/>
    </xf>
    <xf numFmtId="41" fontId="41" fillId="20" borderId="0" xfId="0" applyNumberFormat="1" applyFont="1" applyFill="1" applyAlignment="1" applyProtection="1">
      <alignment horizontal="right" vertical="center"/>
      <protection hidden="1"/>
    </xf>
    <xf numFmtId="170" fontId="4" fillId="0" borderId="20" xfId="0" applyNumberFormat="1" applyFont="1" applyBorder="1" applyAlignment="1" applyProtection="1">
      <alignment vertical="center"/>
      <protection hidden="1"/>
    </xf>
    <xf numFmtId="170" fontId="4" fillId="0" borderId="46" xfId="0" applyNumberFormat="1" applyFont="1" applyBorder="1" applyAlignment="1" applyProtection="1">
      <alignment vertical="center"/>
      <protection hidden="1"/>
    </xf>
    <xf numFmtId="170" fontId="4" fillId="0" borderId="21" xfId="0" applyNumberFormat="1" applyFont="1" applyBorder="1" applyAlignment="1" applyProtection="1">
      <alignment vertical="center"/>
      <protection hidden="1"/>
    </xf>
    <xf numFmtId="170" fontId="42" fillId="0" borderId="16" xfId="0" applyNumberFormat="1" applyFont="1" applyBorder="1" applyAlignment="1" applyProtection="1">
      <alignment horizontal="left" vertical="center" wrapText="1"/>
      <protection hidden="1"/>
    </xf>
    <xf numFmtId="170" fontId="3" fillId="0" borderId="0" xfId="0" applyNumberFormat="1" applyFont="1" applyAlignment="1" applyProtection="1">
      <alignment horizontal="right" vertical="center"/>
      <protection hidden="1"/>
    </xf>
    <xf numFmtId="0" fontId="43" fillId="0" borderId="0" xfId="0" applyFont="1" applyAlignment="1" applyProtection="1">
      <alignment vertical="center"/>
      <protection hidden="1"/>
    </xf>
    <xf numFmtId="0" fontId="34" fillId="0" borderId="0" xfId="0" applyFont="1" applyAlignment="1" applyProtection="1">
      <alignment vertical="center"/>
      <protection hidden="1"/>
    </xf>
    <xf numFmtId="0" fontId="33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49" fontId="31" fillId="0" borderId="60" xfId="0" applyNumberFormat="1" applyFont="1" applyBorder="1" applyAlignment="1" applyProtection="1">
      <alignment horizontal="left" vertical="center"/>
      <protection hidden="1"/>
    </xf>
    <xf numFmtId="10" fontId="31" fillId="0" borderId="50" xfId="3" applyNumberFormat="1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48" fillId="0" borderId="0" xfId="0" applyFont="1" applyAlignment="1" applyProtection="1">
      <alignment vertical="center"/>
      <protection hidden="1"/>
    </xf>
    <xf numFmtId="170" fontId="17" fillId="21" borderId="47" xfId="0" applyNumberFormat="1" applyFont="1" applyFill="1" applyBorder="1" applyAlignment="1" applyProtection="1">
      <alignment horizontal="center" vertical="center"/>
      <protection hidden="1"/>
    </xf>
    <xf numFmtId="171" fontId="5" fillId="7" borderId="0" xfId="1" applyNumberFormat="1" applyFont="1" applyFill="1" applyBorder="1" applyAlignment="1" applyProtection="1">
      <alignment vertical="center"/>
      <protection hidden="1"/>
    </xf>
    <xf numFmtId="0" fontId="49" fillId="0" borderId="0" xfId="0" applyFont="1" applyAlignment="1" applyProtection="1">
      <alignment vertical="center"/>
      <protection hidden="1"/>
    </xf>
    <xf numFmtId="172" fontId="4" fillId="0" borderId="0" xfId="0" applyNumberFormat="1" applyFont="1" applyAlignment="1" applyProtection="1">
      <alignment horizontal="center" vertical="center"/>
      <protection hidden="1"/>
    </xf>
    <xf numFmtId="172" fontId="31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0" fontId="29" fillId="0" borderId="0" xfId="0" applyFont="1"/>
    <xf numFmtId="164" fontId="4" fillId="0" borderId="0" xfId="0" applyNumberFormat="1" applyFont="1" applyAlignment="1" applyProtection="1">
      <alignment vertical="center"/>
      <protection hidden="1"/>
    </xf>
    <xf numFmtId="173" fontId="4" fillId="0" borderId="0" xfId="0" applyNumberFormat="1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38" fontId="4" fillId="0" borderId="0" xfId="1" applyNumberFormat="1" applyFont="1" applyFill="1" applyBorder="1"/>
    <xf numFmtId="2" fontId="4" fillId="0" borderId="0" xfId="0" applyNumberFormat="1" applyFont="1"/>
    <xf numFmtId="38" fontId="4" fillId="0" borderId="0" xfId="0" applyNumberFormat="1" applyFont="1"/>
    <xf numFmtId="0" fontId="4" fillId="0" borderId="0" xfId="0" applyFont="1" applyAlignment="1">
      <alignment horizontal="center"/>
    </xf>
    <xf numFmtId="174" fontId="4" fillId="0" borderId="0" xfId="0" applyNumberFormat="1" applyFont="1" applyAlignment="1" applyProtection="1">
      <alignment vertical="center"/>
      <protection hidden="1"/>
    </xf>
    <xf numFmtId="2" fontId="5" fillId="0" borderId="0" xfId="0" applyNumberFormat="1" applyFont="1" applyAlignment="1" applyProtection="1">
      <alignment vertical="center"/>
      <protection hidden="1"/>
    </xf>
    <xf numFmtId="164" fontId="13" fillId="0" borderId="0" xfId="0" applyNumberFormat="1" applyFont="1" applyAlignment="1" applyProtection="1">
      <alignment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170" fontId="4" fillId="7" borderId="0" xfId="1" applyNumberFormat="1" applyFont="1" applyFill="1" applyBorder="1" applyAlignment="1" applyProtection="1">
      <alignment horizontal="center" vertical="center"/>
      <protection hidden="1"/>
    </xf>
    <xf numFmtId="0" fontId="56" fillId="0" borderId="0" xfId="0" applyFont="1"/>
    <xf numFmtId="49" fontId="5" fillId="0" borderId="0" xfId="0" applyNumberFormat="1" applyFont="1" applyAlignment="1" applyProtection="1">
      <alignment vertical="center"/>
      <protection hidden="1"/>
    </xf>
    <xf numFmtId="170" fontId="17" fillId="0" borderId="0" xfId="0" applyNumberFormat="1" applyFont="1" applyAlignment="1" applyProtection="1">
      <alignment horizontal="center" vertical="center"/>
      <protection hidden="1"/>
    </xf>
    <xf numFmtId="0" fontId="6" fillId="0" borderId="0" xfId="0" quotePrefix="1" applyFont="1" applyAlignment="1">
      <alignment horizontal="center" vertical="center"/>
    </xf>
    <xf numFmtId="0" fontId="17" fillId="0" borderId="0" xfId="0" applyFont="1" applyAlignment="1" applyProtection="1">
      <alignment vertical="center"/>
      <protection hidden="1"/>
    </xf>
    <xf numFmtId="170" fontId="5" fillId="0" borderId="0" xfId="2" applyNumberFormat="1" applyFont="1" applyFill="1" applyBorder="1" applyAlignment="1" applyProtection="1">
      <alignment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5" fillId="0" borderId="0" xfId="0" quotePrefix="1" applyFont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vertical="center" wrapText="1"/>
      <protection hidden="1"/>
    </xf>
    <xf numFmtId="170" fontId="4" fillId="0" borderId="0" xfId="1" applyNumberFormat="1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Alignment="1" applyProtection="1">
      <alignment horizontal="center" vertical="center"/>
      <protection hidden="1"/>
    </xf>
    <xf numFmtId="49" fontId="13" fillId="0" borderId="0" xfId="0" applyNumberFormat="1" applyFont="1" applyAlignment="1" applyProtection="1">
      <alignment horizontal="left" vertical="center"/>
      <protection hidden="1"/>
    </xf>
    <xf numFmtId="170" fontId="5" fillId="0" borderId="0" xfId="3" applyNumberFormat="1" applyFont="1" applyFill="1" applyBorder="1" applyAlignment="1" applyProtection="1">
      <alignment horizontal="center" vertical="center"/>
      <protection hidden="1"/>
    </xf>
    <xf numFmtId="10" fontId="5" fillId="0" borderId="0" xfId="3" applyNumberFormat="1" applyFont="1" applyFill="1" applyBorder="1" applyAlignment="1" applyProtection="1">
      <alignment horizontal="center" vertical="center"/>
      <protection hidden="1"/>
    </xf>
    <xf numFmtId="49" fontId="51" fillId="0" borderId="0" xfId="0" applyNumberFormat="1" applyFont="1" applyAlignment="1" applyProtection="1">
      <alignment vertical="center"/>
      <protection hidden="1"/>
    </xf>
    <xf numFmtId="0" fontId="31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7" fillId="0" borderId="0" xfId="0" applyFont="1" applyAlignment="1">
      <alignment vertical="center"/>
    </xf>
    <xf numFmtId="164" fontId="52" fillId="0" borderId="0" xfId="0" applyNumberFormat="1" applyFont="1" applyAlignment="1" applyProtection="1">
      <alignment vertical="center"/>
      <protection hidden="1"/>
    </xf>
    <xf numFmtId="1" fontId="52" fillId="0" borderId="0" xfId="0" applyNumberFormat="1" applyFont="1" applyAlignment="1" applyProtection="1">
      <alignment vertical="center"/>
      <protection hidden="1"/>
    </xf>
    <xf numFmtId="170" fontId="50" fillId="0" borderId="0" xfId="0" applyNumberFormat="1" applyFont="1" applyAlignment="1" applyProtection="1">
      <alignment vertical="center"/>
      <protection hidden="1"/>
    </xf>
    <xf numFmtId="1" fontId="26" fillId="0" borderId="0" xfId="0" applyNumberFormat="1" applyFont="1" applyAlignment="1" applyProtection="1">
      <alignment horizontal="center" vertical="center"/>
      <protection hidden="1"/>
    </xf>
    <xf numFmtId="0" fontId="53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left" vertical="center" wrapText="1"/>
      <protection hidden="1"/>
    </xf>
    <xf numFmtId="0" fontId="54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72" fontId="5" fillId="0" borderId="0" xfId="0" applyNumberFormat="1" applyFont="1" applyAlignment="1" applyProtection="1">
      <alignment vertical="center"/>
      <protection hidden="1"/>
    </xf>
    <xf numFmtId="0" fontId="55" fillId="0" borderId="0" xfId="0" applyFont="1" applyAlignment="1" applyProtection="1">
      <alignment vertical="center"/>
      <protection hidden="1"/>
    </xf>
    <xf numFmtId="0" fontId="3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3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16" fontId="5" fillId="0" borderId="0" xfId="0" applyNumberFormat="1" applyFont="1" applyAlignment="1" applyProtection="1">
      <alignment vertical="center"/>
      <protection hidden="1"/>
    </xf>
    <xf numFmtId="0" fontId="31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57" fillId="10" borderId="56" xfId="0" applyFont="1" applyFill="1" applyBorder="1" applyAlignment="1" applyProtection="1">
      <alignment horizontal="center" vertical="center"/>
      <protection hidden="1"/>
    </xf>
    <xf numFmtId="0" fontId="58" fillId="22" borderId="36" xfId="0" applyFont="1" applyFill="1" applyBorder="1" applyAlignment="1" applyProtection="1">
      <alignment horizontal="right" wrapText="1"/>
      <protection hidden="1"/>
    </xf>
    <xf numFmtId="164" fontId="59" fillId="0" borderId="42" xfId="0" applyNumberFormat="1" applyFont="1" applyBorder="1" applyAlignment="1">
      <alignment horizontal="center"/>
    </xf>
    <xf numFmtId="38" fontId="59" fillId="0" borderId="41" xfId="0" applyNumberFormat="1" applyFont="1" applyBorder="1" applyAlignment="1">
      <alignment horizontal="left"/>
    </xf>
    <xf numFmtId="38" fontId="59" fillId="0" borderId="51" xfId="0" applyNumberFormat="1" applyFont="1" applyBorder="1" applyAlignment="1">
      <alignment horizontal="left"/>
    </xf>
    <xf numFmtId="164" fontId="59" fillId="4" borderId="36" xfId="0" applyNumberFormat="1" applyFont="1" applyFill="1" applyBorder="1" applyAlignment="1">
      <alignment horizontal="center"/>
    </xf>
    <xf numFmtId="38" fontId="36" fillId="0" borderId="36" xfId="0" applyNumberFormat="1" applyFont="1" applyBorder="1" applyAlignment="1">
      <alignment horizontal="left"/>
    </xf>
    <xf numFmtId="164" fontId="59" fillId="0" borderId="51" xfId="0" applyNumberFormat="1" applyFont="1" applyBorder="1" applyAlignment="1">
      <alignment horizontal="center"/>
    </xf>
    <xf numFmtId="38" fontId="59" fillId="0" borderId="54" xfId="0" applyNumberFormat="1" applyFont="1" applyBorder="1" applyAlignment="1">
      <alignment horizontal="left"/>
    </xf>
    <xf numFmtId="0" fontId="5" fillId="20" borderId="16" xfId="0" applyFont="1" applyFill="1" applyBorder="1" applyAlignment="1">
      <alignment horizontal="center" vertical="center"/>
    </xf>
    <xf numFmtId="0" fontId="24" fillId="20" borderId="36" xfId="0" applyFont="1" applyFill="1" applyBorder="1" applyAlignment="1">
      <alignment horizontal="center"/>
    </xf>
    <xf numFmtId="0" fontId="5" fillId="20" borderId="36" xfId="0" applyFont="1" applyFill="1" applyBorder="1" applyAlignment="1">
      <alignment horizontal="left" vertical="center"/>
    </xf>
    <xf numFmtId="0" fontId="5" fillId="20" borderId="36" xfId="0" applyFont="1" applyFill="1" applyBorder="1" applyAlignment="1">
      <alignment horizontal="center" vertical="center"/>
    </xf>
    <xf numFmtId="167" fontId="5" fillId="20" borderId="16" xfId="5" applyNumberFormat="1" applyFont="1" applyFill="1" applyBorder="1" applyAlignment="1">
      <alignment vertical="center"/>
    </xf>
    <xf numFmtId="167" fontId="5" fillId="20" borderId="38" xfId="5" applyNumberFormat="1" applyFont="1" applyFill="1" applyBorder="1" applyAlignment="1">
      <alignment vertical="center"/>
    </xf>
    <xf numFmtId="0" fontId="4" fillId="13" borderId="37" xfId="0" applyFont="1" applyFill="1" applyBorder="1" applyAlignment="1">
      <alignment horizontal="center" vertical="center"/>
    </xf>
    <xf numFmtId="0" fontId="22" fillId="13" borderId="38" xfId="0" applyFont="1" applyFill="1" applyBorder="1" applyAlignment="1">
      <alignment horizontal="left" vertical="center"/>
    </xf>
    <xf numFmtId="167" fontId="5" fillId="0" borderId="38" xfId="5" applyNumberFormat="1" applyFont="1" applyFill="1" applyBorder="1" applyAlignment="1">
      <alignment vertical="center"/>
    </xf>
    <xf numFmtId="0" fontId="4" fillId="13" borderId="51" xfId="0" applyFont="1" applyFill="1" applyBorder="1" applyAlignment="1">
      <alignment horizontal="center" vertical="center"/>
    </xf>
    <xf numFmtId="0" fontId="4" fillId="13" borderId="23" xfId="0" applyFont="1" applyFill="1" applyBorder="1" applyAlignment="1">
      <alignment horizontal="left" vertical="center"/>
    </xf>
    <xf numFmtId="167" fontId="21" fillId="13" borderId="24" xfId="5" applyNumberFormat="1" applyFont="1" applyFill="1" applyBorder="1" applyAlignment="1" applyProtection="1">
      <alignment vertical="center"/>
      <protection locked="0"/>
    </xf>
    <xf numFmtId="167" fontId="21" fillId="13" borderId="34" xfId="5" applyNumberFormat="1" applyFont="1" applyFill="1" applyBorder="1" applyAlignment="1" applyProtection="1">
      <alignment vertical="center"/>
      <protection locked="0"/>
    </xf>
    <xf numFmtId="0" fontId="4" fillId="20" borderId="36" xfId="0" applyFont="1" applyFill="1" applyBorder="1" applyAlignment="1">
      <alignment horizontal="center" vertical="center"/>
    </xf>
    <xf numFmtId="0" fontId="5" fillId="20" borderId="16" xfId="0" applyFont="1" applyFill="1" applyBorder="1" applyAlignment="1">
      <alignment horizontal="left" vertical="center"/>
    </xf>
    <xf numFmtId="167" fontId="5" fillId="20" borderId="37" xfId="5" applyNumberFormat="1" applyFont="1" applyFill="1" applyBorder="1" applyAlignment="1">
      <alignment vertical="center"/>
    </xf>
    <xf numFmtId="167" fontId="5" fillId="20" borderId="39" xfId="5" applyNumberFormat="1" applyFont="1" applyFill="1" applyBorder="1" applyAlignment="1">
      <alignment vertical="center"/>
    </xf>
    <xf numFmtId="0" fontId="5" fillId="11" borderId="62" xfId="0" applyFont="1" applyFill="1" applyBorder="1" applyAlignment="1">
      <alignment horizontal="center" vertical="center"/>
    </xf>
    <xf numFmtId="167" fontId="21" fillId="0" borderId="15" xfId="5" applyNumberFormat="1" applyFont="1" applyFill="1" applyBorder="1" applyAlignment="1" applyProtection="1">
      <alignment vertical="center"/>
      <protection locked="0"/>
    </xf>
    <xf numFmtId="167" fontId="21" fillId="13" borderId="15" xfId="5" applyNumberFormat="1" applyFont="1" applyFill="1" applyBorder="1" applyAlignment="1" applyProtection="1">
      <alignment vertical="center"/>
      <protection locked="0"/>
    </xf>
    <xf numFmtId="167" fontId="21" fillId="13" borderId="11" xfId="5" applyNumberFormat="1" applyFont="1" applyFill="1" applyBorder="1" applyAlignment="1" applyProtection="1">
      <alignment vertical="center"/>
      <protection locked="0"/>
    </xf>
    <xf numFmtId="167" fontId="5" fillId="20" borderId="62" xfId="5" applyNumberFormat="1" applyFont="1" applyFill="1" applyBorder="1" applyAlignment="1">
      <alignment vertical="center"/>
    </xf>
    <xf numFmtId="167" fontId="5" fillId="0" borderId="62" xfId="5" applyNumberFormat="1" applyFont="1" applyFill="1" applyBorder="1" applyAlignment="1">
      <alignment vertical="center"/>
    </xf>
    <xf numFmtId="167" fontId="21" fillId="0" borderId="58" xfId="5" applyNumberFormat="1" applyFont="1" applyFill="1" applyBorder="1" applyAlignment="1" applyProtection="1">
      <alignment vertical="center"/>
      <protection locked="0"/>
    </xf>
    <xf numFmtId="167" fontId="21" fillId="0" borderId="11" xfId="5" applyNumberFormat="1" applyFont="1" applyFill="1" applyBorder="1" applyAlignment="1" applyProtection="1">
      <alignment vertical="center"/>
      <protection locked="0"/>
    </xf>
    <xf numFmtId="167" fontId="5" fillId="20" borderId="59" xfId="5" applyNumberFormat="1" applyFont="1" applyFill="1" applyBorder="1" applyAlignment="1">
      <alignment vertical="center"/>
    </xf>
    <xf numFmtId="167" fontId="21" fillId="0" borderId="63" xfId="5" applyNumberFormat="1" applyFont="1" applyFill="1" applyBorder="1" applyAlignment="1" applyProtection="1">
      <alignment vertical="center"/>
      <protection locked="0"/>
    </xf>
    <xf numFmtId="168" fontId="4" fillId="12" borderId="42" xfId="0" applyNumberFormat="1" applyFont="1" applyFill="1" applyBorder="1" applyAlignment="1">
      <alignment vertical="center"/>
    </xf>
    <xf numFmtId="168" fontId="4" fillId="12" borderId="41" xfId="0" applyNumberFormat="1" applyFont="1" applyFill="1" applyBorder="1" applyAlignment="1">
      <alignment vertical="center"/>
    </xf>
    <xf numFmtId="168" fontId="4" fillId="12" borderId="51" xfId="0" applyNumberFormat="1" applyFont="1" applyFill="1" applyBorder="1" applyAlignment="1">
      <alignment vertical="center"/>
    </xf>
    <xf numFmtId="168" fontId="4" fillId="12" borderId="57" xfId="0" applyNumberFormat="1" applyFont="1" applyFill="1" applyBorder="1" applyAlignment="1">
      <alignment vertical="center"/>
    </xf>
    <xf numFmtId="0" fontId="4" fillId="13" borderId="9" xfId="0" applyFont="1" applyFill="1" applyBorder="1" applyAlignment="1">
      <alignment horizontal="center"/>
    </xf>
    <xf numFmtId="0" fontId="19" fillId="13" borderId="41" xfId="0" applyFont="1" applyFill="1" applyBorder="1" applyAlignment="1">
      <alignment horizontal="left" vertical="center"/>
    </xf>
    <xf numFmtId="167" fontId="21" fillId="0" borderId="27" xfId="5" applyNumberFormat="1" applyFont="1" applyFill="1" applyBorder="1" applyAlignment="1" applyProtection="1">
      <alignment vertical="center"/>
      <protection locked="0"/>
    </xf>
    <xf numFmtId="167" fontId="21" fillId="0" borderId="49" xfId="5" applyNumberFormat="1" applyFont="1" applyFill="1" applyBorder="1" applyAlignment="1" applyProtection="1">
      <alignment vertical="center"/>
      <protection locked="0"/>
    </xf>
    <xf numFmtId="167" fontId="21" fillId="0" borderId="9" xfId="5" applyNumberFormat="1" applyFont="1" applyFill="1" applyBorder="1" applyAlignment="1" applyProtection="1">
      <alignment vertical="center"/>
      <protection locked="0"/>
    </xf>
    <xf numFmtId="167" fontId="21" fillId="0" borderId="19" xfId="5" applyNumberFormat="1" applyFont="1" applyFill="1" applyBorder="1" applyAlignment="1" applyProtection="1">
      <alignment vertical="center"/>
      <protection locked="0"/>
    </xf>
    <xf numFmtId="167" fontId="21" fillId="0" borderId="61" xfId="5" applyNumberFormat="1" applyFont="1" applyFill="1" applyBorder="1" applyAlignment="1" applyProtection="1">
      <alignment vertical="center"/>
      <protection locked="0"/>
    </xf>
    <xf numFmtId="0" fontId="4" fillId="13" borderId="11" xfId="0" applyFont="1" applyFill="1" applyBorder="1" applyAlignment="1">
      <alignment horizontal="center"/>
    </xf>
    <xf numFmtId="0" fontId="5" fillId="20" borderId="30" xfId="0" applyFont="1" applyFill="1" applyBorder="1" applyAlignment="1">
      <alignment horizontal="center" vertical="center"/>
    </xf>
    <xf numFmtId="0" fontId="5" fillId="20" borderId="55" xfId="0" applyFont="1" applyFill="1" applyBorder="1" applyAlignment="1">
      <alignment horizontal="center" vertical="center"/>
    </xf>
    <xf numFmtId="0" fontId="5" fillId="20" borderId="63" xfId="0" applyFont="1" applyFill="1" applyBorder="1" applyAlignment="1">
      <alignment horizontal="center" vertical="center"/>
    </xf>
    <xf numFmtId="168" fontId="5" fillId="20" borderId="36" xfId="0" applyNumberFormat="1" applyFont="1" applyFill="1" applyBorder="1" applyAlignment="1">
      <alignment vertical="center"/>
    </xf>
    <xf numFmtId="167" fontId="5" fillId="0" borderId="36" xfId="5" applyNumberFormat="1" applyFont="1" applyFill="1" applyBorder="1" applyAlignment="1">
      <alignment vertical="center"/>
    </xf>
    <xf numFmtId="0" fontId="5" fillId="10" borderId="16" xfId="0" applyFont="1" applyFill="1" applyBorder="1" applyAlignment="1">
      <alignment horizontal="center" vertical="center"/>
    </xf>
    <xf numFmtId="0" fontId="24" fillId="20" borderId="16" xfId="0" applyFont="1" applyFill="1" applyBorder="1" applyAlignment="1">
      <alignment horizontal="center"/>
    </xf>
    <xf numFmtId="0" fontId="4" fillId="20" borderId="36" xfId="0" applyFont="1" applyFill="1" applyBorder="1" applyAlignment="1">
      <alignment horizontal="center"/>
    </xf>
    <xf numFmtId="170" fontId="5" fillId="13" borderId="4" xfId="2" applyNumberFormat="1" applyFont="1" applyFill="1" applyBorder="1" applyAlignment="1" applyProtection="1">
      <alignment vertical="center"/>
      <protection hidden="1"/>
    </xf>
    <xf numFmtId="0" fontId="17" fillId="18" borderId="64" xfId="0" applyFont="1" applyFill="1" applyBorder="1" applyAlignment="1" applyProtection="1">
      <alignment horizontal="center" vertical="center" wrapText="1"/>
      <protection hidden="1"/>
    </xf>
    <xf numFmtId="0" fontId="17" fillId="18" borderId="52" xfId="0" applyFont="1" applyFill="1" applyBorder="1" applyAlignment="1" applyProtection="1">
      <alignment horizontal="center" vertical="center" wrapText="1"/>
      <protection hidden="1"/>
    </xf>
    <xf numFmtId="0" fontId="17" fillId="18" borderId="53" xfId="0" applyFont="1" applyFill="1" applyBorder="1" applyAlignment="1" applyProtection="1">
      <alignment horizontal="center" vertical="center" wrapText="1"/>
      <protection hidden="1"/>
    </xf>
    <xf numFmtId="170" fontId="4" fillId="0" borderId="46" xfId="2" applyNumberFormat="1" applyFont="1" applyFill="1" applyBorder="1" applyAlignment="1" applyProtection="1">
      <alignment vertical="center"/>
      <protection hidden="1"/>
    </xf>
    <xf numFmtId="170" fontId="4" fillId="0" borderId="46" xfId="2" quotePrefix="1" applyNumberFormat="1" applyFont="1" applyFill="1" applyBorder="1" applyAlignment="1" applyProtection="1">
      <alignment vertical="center"/>
      <protection hidden="1"/>
    </xf>
    <xf numFmtId="170" fontId="4" fillId="0" borderId="43" xfId="2" applyNumberFormat="1" applyFont="1" applyFill="1" applyBorder="1" applyAlignment="1" applyProtection="1">
      <alignment vertical="center"/>
      <protection hidden="1"/>
    </xf>
    <xf numFmtId="170" fontId="4" fillId="0" borderId="44" xfId="2" applyNumberFormat="1" applyFont="1" applyFill="1" applyBorder="1" applyAlignment="1" applyProtection="1">
      <alignment vertical="center"/>
      <protection hidden="1"/>
    </xf>
    <xf numFmtId="170" fontId="4" fillId="0" borderId="45" xfId="2" applyNumberFormat="1" applyFont="1" applyFill="1" applyBorder="1" applyAlignment="1" applyProtection="1">
      <alignment vertical="center"/>
      <protection hidden="1"/>
    </xf>
    <xf numFmtId="170" fontId="4" fillId="0" borderId="20" xfId="2" applyNumberFormat="1" applyFont="1" applyFill="1" applyBorder="1" applyAlignment="1" applyProtection="1">
      <alignment vertical="center"/>
      <protection hidden="1"/>
    </xf>
    <xf numFmtId="170" fontId="4" fillId="0" borderId="21" xfId="2" applyNumberFormat="1" applyFont="1" applyFill="1" applyBorder="1" applyAlignment="1" applyProtection="1">
      <alignment vertical="center"/>
      <protection hidden="1"/>
    </xf>
    <xf numFmtId="170" fontId="4" fillId="0" borderId="20" xfId="2" quotePrefix="1" applyNumberFormat="1" applyFont="1" applyFill="1" applyBorder="1" applyAlignment="1" applyProtection="1">
      <alignment vertical="center"/>
      <protection hidden="1"/>
    </xf>
    <xf numFmtId="170" fontId="4" fillId="0" borderId="21" xfId="2" quotePrefix="1" applyNumberFormat="1" applyFont="1" applyFill="1" applyBorder="1" applyAlignment="1" applyProtection="1">
      <alignment vertical="center"/>
      <protection hidden="1"/>
    </xf>
    <xf numFmtId="0" fontId="17" fillId="19" borderId="36" xfId="0" applyFont="1" applyFill="1" applyBorder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164" fontId="59" fillId="0" borderId="42" xfId="0" quotePrefix="1" applyNumberFormat="1" applyFont="1" applyBorder="1" applyAlignment="1">
      <alignment horizontal="center"/>
    </xf>
    <xf numFmtId="164" fontId="59" fillId="0" borderId="36" xfId="0" quotePrefix="1" applyNumberFormat="1" applyFont="1" applyBorder="1" applyAlignment="1">
      <alignment horizontal="center"/>
    </xf>
    <xf numFmtId="164" fontId="59" fillId="0" borderId="54" xfId="0" quotePrefix="1" applyNumberFormat="1" applyFont="1" applyBorder="1" applyAlignment="1">
      <alignment horizontal="center"/>
    </xf>
    <xf numFmtId="170" fontId="13" fillId="20" borderId="4" xfId="2" applyNumberFormat="1" applyFont="1" applyFill="1" applyBorder="1" applyAlignment="1" applyProtection="1">
      <alignment vertical="center"/>
      <protection hidden="1"/>
    </xf>
    <xf numFmtId="170" fontId="13" fillId="20" borderId="4" xfId="0" applyNumberFormat="1" applyFont="1" applyFill="1" applyBorder="1" applyAlignment="1" applyProtection="1">
      <alignment vertical="center"/>
      <protection hidden="1"/>
    </xf>
    <xf numFmtId="170" fontId="31" fillId="20" borderId="46" xfId="0" applyNumberFormat="1" applyFont="1" applyFill="1" applyBorder="1" applyAlignment="1" applyProtection="1">
      <alignment vertical="center"/>
      <protection hidden="1"/>
    </xf>
    <xf numFmtId="170" fontId="31" fillId="20" borderId="20" xfId="0" applyNumberFormat="1" applyFont="1" applyFill="1" applyBorder="1" applyAlignment="1" applyProtection="1">
      <alignment vertical="center"/>
      <protection hidden="1"/>
    </xf>
    <xf numFmtId="170" fontId="31" fillId="20" borderId="21" xfId="0" applyNumberFormat="1" applyFont="1" applyFill="1" applyBorder="1" applyAlignment="1" applyProtection="1">
      <alignment vertical="center"/>
      <protection hidden="1"/>
    </xf>
    <xf numFmtId="38" fontId="59" fillId="0" borderId="19" xfId="0" applyNumberFormat="1" applyFont="1" applyBorder="1" applyAlignment="1">
      <alignment horizontal="left"/>
    </xf>
    <xf numFmtId="38" fontId="59" fillId="0" borderId="22" xfId="0" applyNumberFormat="1" applyFont="1" applyBorder="1" applyAlignment="1">
      <alignment horizontal="left"/>
    </xf>
    <xf numFmtId="38" fontId="59" fillId="0" borderId="23" xfId="0" applyNumberFormat="1" applyFont="1" applyBorder="1" applyAlignment="1">
      <alignment horizontal="left"/>
    </xf>
    <xf numFmtId="0" fontId="60" fillId="22" borderId="64" xfId="0" applyFont="1" applyFill="1" applyBorder="1" applyAlignment="1">
      <alignment horizontal="center" vertical="center"/>
    </xf>
    <xf numFmtId="0" fontId="60" fillId="22" borderId="52" xfId="0" applyFont="1" applyFill="1" applyBorder="1" applyAlignment="1">
      <alignment horizontal="center" vertical="center"/>
    </xf>
    <xf numFmtId="0" fontId="60" fillId="22" borderId="53" xfId="0" applyFont="1" applyFill="1" applyBorder="1" applyAlignment="1">
      <alignment horizontal="center" vertical="center"/>
    </xf>
    <xf numFmtId="38" fontId="36" fillId="0" borderId="16" xfId="0" applyNumberFormat="1" applyFont="1" applyBorder="1" applyAlignment="1">
      <alignment horizontal="left"/>
    </xf>
    <xf numFmtId="170" fontId="4" fillId="0" borderId="24" xfId="2" applyNumberFormat="1" applyFont="1" applyFill="1" applyBorder="1" applyAlignment="1" applyProtection="1">
      <alignment vertical="center"/>
      <protection hidden="1"/>
    </xf>
    <xf numFmtId="170" fontId="4" fillId="0" borderId="34" xfId="2" applyNumberFormat="1" applyFont="1" applyFill="1" applyBorder="1" applyAlignment="1" applyProtection="1">
      <alignment vertical="center"/>
      <protection hidden="1"/>
    </xf>
    <xf numFmtId="170" fontId="4" fillId="0" borderId="25" xfId="2" applyNumberFormat="1" applyFont="1" applyFill="1" applyBorder="1" applyAlignment="1" applyProtection="1">
      <alignment vertical="center"/>
      <protection hidden="1"/>
    </xf>
    <xf numFmtId="170" fontId="5" fillId="0" borderId="16" xfId="2" applyNumberFormat="1" applyFont="1" applyFill="1" applyBorder="1" applyAlignment="1" applyProtection="1">
      <alignment vertical="center"/>
      <protection hidden="1"/>
    </xf>
    <xf numFmtId="170" fontId="5" fillId="0" borderId="38" xfId="2" applyNumberFormat="1" applyFont="1" applyFill="1" applyBorder="1" applyAlignment="1" applyProtection="1">
      <alignment vertical="center"/>
      <protection hidden="1"/>
    </xf>
    <xf numFmtId="170" fontId="5" fillId="0" borderId="39" xfId="2" applyNumberFormat="1" applyFont="1" applyFill="1" applyBorder="1" applyAlignment="1" applyProtection="1">
      <alignment vertical="center"/>
      <protection hidden="1"/>
    </xf>
    <xf numFmtId="170" fontId="32" fillId="0" borderId="0" xfId="0" applyNumberFormat="1" applyFont="1" applyAlignment="1" applyProtection="1">
      <alignment horizontal="left" vertical="center"/>
      <protection hidden="1"/>
    </xf>
    <xf numFmtId="10" fontId="44" fillId="0" borderId="0" xfId="3" applyNumberFormat="1" applyFont="1" applyFill="1" applyBorder="1" applyAlignment="1" applyProtection="1">
      <alignment horizontal="center" vertical="center"/>
      <protection hidden="1"/>
    </xf>
    <xf numFmtId="169" fontId="45" fillId="0" borderId="0" xfId="0" applyNumberFormat="1" applyFont="1" applyAlignment="1" applyProtection="1">
      <alignment horizontal="left" vertical="center"/>
      <protection hidden="1"/>
    </xf>
    <xf numFmtId="164" fontId="45" fillId="0" borderId="0" xfId="0" applyNumberFormat="1" applyFont="1" applyAlignment="1" applyProtection="1">
      <alignment horizontal="left" vertical="center"/>
      <protection hidden="1"/>
    </xf>
    <xf numFmtId="49" fontId="46" fillId="0" borderId="48" xfId="0" applyNumberFormat="1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1" fontId="5" fillId="0" borderId="0" xfId="0" applyNumberFormat="1" applyFont="1" applyAlignment="1" applyProtection="1">
      <alignment horizontal="center" vertical="center" wrapText="1"/>
      <protection hidden="1"/>
    </xf>
    <xf numFmtId="171" fontId="31" fillId="0" borderId="0" xfId="1" applyNumberFormat="1" applyFont="1" applyFill="1" applyBorder="1" applyAlignment="1" applyProtection="1">
      <alignment vertical="center"/>
      <protection hidden="1"/>
    </xf>
    <xf numFmtId="170" fontId="4" fillId="0" borderId="0" xfId="0" applyNumberFormat="1" applyFont="1" applyAlignment="1" applyProtection="1">
      <alignment horizontal="right" vertical="center"/>
      <protection hidden="1"/>
    </xf>
    <xf numFmtId="170" fontId="5" fillId="0" borderId="0" xfId="2" applyNumberFormat="1" applyFont="1" applyFill="1" applyBorder="1" applyAlignment="1" applyProtection="1">
      <alignment horizontal="right" vertical="center"/>
      <protection hidden="1"/>
    </xf>
    <xf numFmtId="0" fontId="4" fillId="0" borderId="16" xfId="0" applyFont="1" applyBorder="1" applyAlignment="1" applyProtection="1">
      <alignment vertical="center"/>
      <protection hidden="1"/>
    </xf>
    <xf numFmtId="0" fontId="4" fillId="0" borderId="4" xfId="0" applyFont="1" applyBorder="1" applyAlignment="1" applyProtection="1">
      <alignment vertical="center"/>
      <protection hidden="1"/>
    </xf>
    <xf numFmtId="0" fontId="5" fillId="0" borderId="16" xfId="2" applyNumberFormat="1" applyFont="1" applyFill="1" applyBorder="1" applyAlignment="1" applyProtection="1">
      <alignment horizontal="left" vertical="top"/>
      <protection hidden="1"/>
    </xf>
    <xf numFmtId="0" fontId="12" fillId="14" borderId="16" xfId="0" applyFont="1" applyFill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41" fontId="5" fillId="0" borderId="16" xfId="2" applyFont="1" applyFill="1" applyBorder="1" applyAlignment="1" applyProtection="1">
      <alignment horizontal="left" vertical="center"/>
      <protection hidden="1"/>
    </xf>
    <xf numFmtId="0" fontId="12" fillId="14" borderId="16" xfId="0" applyFont="1" applyFill="1" applyBorder="1" applyAlignment="1" applyProtection="1">
      <alignment vertical="center"/>
      <protection hidden="1"/>
    </xf>
    <xf numFmtId="170" fontId="59" fillId="0" borderId="0" xfId="0" applyNumberFormat="1" applyFont="1" applyAlignment="1">
      <alignment horizontal="center"/>
    </xf>
    <xf numFmtId="0" fontId="4" fillId="0" borderId="6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70" fontId="4" fillId="0" borderId="1" xfId="0" applyNumberFormat="1" applyFont="1" applyBorder="1" applyAlignment="1" applyProtection="1">
      <alignment horizontal="right" vertical="center"/>
      <protection hidden="1"/>
    </xf>
    <xf numFmtId="170" fontId="4" fillId="0" borderId="2" xfId="0" applyNumberFormat="1" applyFont="1" applyBorder="1" applyAlignment="1" applyProtection="1">
      <alignment horizontal="right" vertical="center"/>
      <protection hidden="1"/>
    </xf>
    <xf numFmtId="170" fontId="4" fillId="0" borderId="3" xfId="0" applyNumberFormat="1" applyFont="1" applyBorder="1" applyAlignment="1" applyProtection="1">
      <alignment horizontal="right" vertical="center"/>
      <protection hidden="1"/>
    </xf>
    <xf numFmtId="170" fontId="17" fillId="19" borderId="16" xfId="0" applyNumberFormat="1" applyFont="1" applyFill="1" applyBorder="1" applyAlignment="1" applyProtection="1">
      <alignment vertical="center"/>
      <protection hidden="1"/>
    </xf>
    <xf numFmtId="170" fontId="5" fillId="0" borderId="37" xfId="0" applyNumberFormat="1" applyFont="1" applyBorder="1" applyAlignment="1" applyProtection="1">
      <alignment vertical="center"/>
      <protection hidden="1"/>
    </xf>
    <xf numFmtId="170" fontId="5" fillId="0" borderId="38" xfId="0" applyNumberFormat="1" applyFont="1" applyBorder="1" applyAlignment="1" applyProtection="1">
      <alignment vertical="center"/>
      <protection hidden="1"/>
    </xf>
    <xf numFmtId="170" fontId="5" fillId="0" borderId="39" xfId="0" applyNumberFormat="1" applyFont="1" applyBorder="1" applyAlignment="1" applyProtection="1">
      <alignment vertical="center"/>
      <protection hidden="1"/>
    </xf>
    <xf numFmtId="44" fontId="0" fillId="0" borderId="0" xfId="0" applyNumberFormat="1"/>
    <xf numFmtId="43" fontId="0" fillId="0" borderId="0" xfId="1" applyFont="1"/>
    <xf numFmtId="2" fontId="0" fillId="0" borderId="0" xfId="0" applyNumberFormat="1"/>
    <xf numFmtId="175" fontId="0" fillId="0" borderId="0" xfId="0" applyNumberFormat="1"/>
    <xf numFmtId="0" fontId="61" fillId="4" borderId="34" xfId="0" applyFont="1" applyFill="1" applyBorder="1" applyAlignment="1" applyProtection="1">
      <alignment horizontal="center" vertical="center"/>
      <protection hidden="1"/>
    </xf>
    <xf numFmtId="0" fontId="61" fillId="16" borderId="34" xfId="0" applyFont="1" applyFill="1" applyBorder="1" applyAlignment="1" applyProtection="1">
      <alignment horizontal="left" vertical="center" wrapText="1"/>
      <protection hidden="1"/>
    </xf>
    <xf numFmtId="167" fontId="5" fillId="0" borderId="0" xfId="5" applyNumberFormat="1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8" fontId="5" fillId="0" borderId="0" xfId="5" applyFont="1" applyFill="1" applyBorder="1" applyAlignment="1">
      <alignment vertical="center"/>
    </xf>
    <xf numFmtId="0" fontId="22" fillId="0" borderId="43" xfId="0" applyFont="1" applyBorder="1" applyAlignment="1">
      <alignment horizontal="left" vertical="center"/>
    </xf>
    <xf numFmtId="167" fontId="5" fillId="0" borderId="45" xfId="5" applyNumberFormat="1" applyFont="1" applyFill="1" applyBorder="1" applyAlignment="1">
      <alignment vertical="center"/>
    </xf>
    <xf numFmtId="0" fontId="22" fillId="0" borderId="20" xfId="0" applyFont="1" applyBorder="1" applyAlignment="1">
      <alignment horizontal="left" vertical="center"/>
    </xf>
    <xf numFmtId="167" fontId="5" fillId="0" borderId="21" xfId="5" applyNumberFormat="1" applyFont="1" applyFill="1" applyBorder="1" applyAlignment="1">
      <alignment vertical="center"/>
    </xf>
    <xf numFmtId="0" fontId="22" fillId="0" borderId="32" xfId="0" applyFont="1" applyBorder="1" applyAlignment="1">
      <alignment horizontal="left" vertical="center"/>
    </xf>
    <xf numFmtId="167" fontId="5" fillId="0" borderId="33" xfId="5" applyNumberFormat="1" applyFont="1" applyFill="1" applyBorder="1" applyAlignment="1">
      <alignment vertical="center"/>
    </xf>
    <xf numFmtId="170" fontId="13" fillId="0" borderId="4" xfId="2" applyNumberFormat="1" applyFont="1" applyFill="1" applyBorder="1" applyAlignment="1" applyProtection="1">
      <alignment vertical="center"/>
      <protection hidden="1"/>
    </xf>
    <xf numFmtId="1" fontId="5" fillId="0" borderId="2" xfId="0" applyNumberFormat="1" applyFont="1" applyBorder="1" applyAlignment="1" applyProtection="1">
      <alignment horizontal="center" vertical="center" wrapText="1"/>
      <protection hidden="1"/>
    </xf>
    <xf numFmtId="1" fontId="5" fillId="0" borderId="3" xfId="0" applyNumberFormat="1" applyFont="1" applyBorder="1" applyAlignment="1" applyProtection="1">
      <alignment horizontal="center" vertical="center" wrapText="1"/>
      <protection hidden="1"/>
    </xf>
    <xf numFmtId="0" fontId="35" fillId="0" borderId="0" xfId="0" applyFont="1" applyAlignment="1" applyProtection="1">
      <alignment vertical="center"/>
      <protection hidden="1"/>
    </xf>
    <xf numFmtId="0" fontId="11" fillId="0" borderId="0" xfId="0" applyFont="1" applyAlignment="1">
      <alignment horizontal="center" vertical="center"/>
    </xf>
    <xf numFmtId="169" fontId="4" fillId="0" borderId="0" xfId="3" applyNumberFormat="1" applyFont="1" applyFill="1" applyBorder="1" applyAlignment="1" applyProtection="1">
      <alignment vertical="center"/>
      <protection hidden="1"/>
    </xf>
    <xf numFmtId="169" fontId="4" fillId="0" borderId="0" xfId="0" applyNumberFormat="1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170" fontId="4" fillId="0" borderId="35" xfId="2" applyNumberFormat="1" applyFont="1" applyFill="1" applyBorder="1" applyAlignment="1" applyProtection="1">
      <alignment vertical="center"/>
      <protection hidden="1"/>
    </xf>
    <xf numFmtId="10" fontId="4" fillId="0" borderId="0" xfId="0" applyNumberFormat="1" applyFont="1" applyAlignment="1" applyProtection="1">
      <alignment horizontal="center" vertical="center"/>
      <protection hidden="1"/>
    </xf>
    <xf numFmtId="164" fontId="29" fillId="0" borderId="0" xfId="0" applyNumberFormat="1" applyFont="1" applyAlignment="1" applyProtection="1">
      <alignment vertical="center" wrapText="1"/>
      <protection hidden="1"/>
    </xf>
    <xf numFmtId="0" fontId="4" fillId="0" borderId="21" xfId="0" applyFont="1" applyBorder="1" applyAlignment="1">
      <alignment horizontal="center" vertical="center"/>
    </xf>
    <xf numFmtId="170" fontId="4" fillId="0" borderId="4" xfId="2" applyNumberFormat="1" applyFont="1" applyFill="1" applyBorder="1" applyAlignment="1" applyProtection="1">
      <alignment vertical="center"/>
      <protection hidden="1"/>
    </xf>
    <xf numFmtId="1" fontId="5" fillId="0" borderId="1" xfId="0" applyNumberFormat="1" applyFont="1" applyBorder="1" applyAlignment="1" applyProtection="1">
      <alignment horizontal="center" vertical="center" wrapText="1"/>
      <protection hidden="1"/>
    </xf>
    <xf numFmtId="170" fontId="5" fillId="0" borderId="6" xfId="2" applyNumberFormat="1" applyFont="1" applyFill="1" applyBorder="1" applyAlignment="1" applyProtection="1">
      <alignment horizontal="right" vertical="center"/>
      <protection hidden="1"/>
    </xf>
    <xf numFmtId="170" fontId="5" fillId="0" borderId="7" xfId="2" applyNumberFormat="1" applyFont="1" applyFill="1" applyBorder="1" applyAlignment="1" applyProtection="1">
      <alignment horizontal="right" vertical="center"/>
      <protection hidden="1"/>
    </xf>
    <xf numFmtId="170" fontId="5" fillId="0" borderId="8" xfId="2" applyNumberFormat="1" applyFont="1" applyFill="1" applyBorder="1" applyAlignment="1" applyProtection="1">
      <alignment horizontal="right" vertical="center"/>
      <protection hidden="1"/>
    </xf>
    <xf numFmtId="0" fontId="4" fillId="0" borderId="0" xfId="0" quotePrefix="1" applyFont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vertical="center"/>
      <protection hidden="1"/>
    </xf>
    <xf numFmtId="170" fontId="4" fillId="0" borderId="7" xfId="0" applyNumberFormat="1" applyFont="1" applyBorder="1" applyAlignment="1" applyProtection="1">
      <alignment vertical="center"/>
      <protection hidden="1"/>
    </xf>
    <xf numFmtId="170" fontId="4" fillId="0" borderId="8" xfId="0" applyNumberFormat="1" applyFont="1" applyBorder="1" applyAlignment="1" applyProtection="1">
      <alignment vertical="center"/>
      <protection hidden="1"/>
    </xf>
    <xf numFmtId="170" fontId="0" fillId="0" borderId="0" xfId="0" applyNumberFormat="1"/>
    <xf numFmtId="10" fontId="0" fillId="0" borderId="0" xfId="0" applyNumberFormat="1"/>
    <xf numFmtId="8" fontId="0" fillId="0" borderId="0" xfId="0" applyNumberFormat="1"/>
    <xf numFmtId="170" fontId="5" fillId="0" borderId="6" xfId="2" applyNumberFormat="1" applyFont="1" applyFill="1" applyBorder="1" applyAlignment="1" applyProtection="1">
      <alignment vertical="center"/>
      <protection hidden="1"/>
    </xf>
    <xf numFmtId="170" fontId="5" fillId="0" borderId="7" xfId="2" applyNumberFormat="1" applyFont="1" applyFill="1" applyBorder="1" applyAlignment="1" applyProtection="1">
      <alignment vertical="center"/>
      <protection hidden="1"/>
    </xf>
    <xf numFmtId="170" fontId="5" fillId="0" borderId="8" xfId="2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49" fontId="46" fillId="0" borderId="0" xfId="0" applyNumberFormat="1" applyFont="1" applyAlignment="1" applyProtection="1">
      <alignment vertical="center"/>
      <protection hidden="1"/>
    </xf>
    <xf numFmtId="0" fontId="5" fillId="0" borderId="4" xfId="0" quotePrefix="1" applyFont="1" applyBorder="1" applyAlignment="1" applyProtection="1">
      <alignment horizontal="center" vertical="center"/>
      <protection hidden="1"/>
    </xf>
    <xf numFmtId="170" fontId="4" fillId="0" borderId="37" xfId="2" applyNumberFormat="1" applyFont="1" applyFill="1" applyBorder="1" applyAlignment="1" applyProtection="1">
      <alignment vertical="center"/>
      <protection hidden="1"/>
    </xf>
    <xf numFmtId="170" fontId="4" fillId="0" borderId="38" xfId="2" applyNumberFormat="1" applyFont="1" applyFill="1" applyBorder="1" applyAlignment="1" applyProtection="1">
      <alignment vertical="center"/>
      <protection hidden="1"/>
    </xf>
    <xf numFmtId="170" fontId="4" fillId="0" borderId="39" xfId="2" applyNumberFormat="1" applyFont="1" applyFill="1" applyBorder="1" applyAlignment="1" applyProtection="1">
      <alignment vertical="center"/>
      <protection hidden="1"/>
    </xf>
    <xf numFmtId="49" fontId="0" fillId="0" borderId="4" xfId="0" applyNumberFormat="1" applyBorder="1"/>
    <xf numFmtId="0" fontId="5" fillId="0" borderId="16" xfId="0" applyFont="1" applyBorder="1" applyAlignment="1" applyProtection="1">
      <alignment vertical="center"/>
      <protection hidden="1"/>
    </xf>
    <xf numFmtId="49" fontId="3" fillId="0" borderId="16" xfId="0" applyNumberFormat="1" applyFont="1" applyBorder="1"/>
    <xf numFmtId="170" fontId="4" fillId="0" borderId="40" xfId="0" applyNumberFormat="1" applyFont="1" applyBorder="1" applyAlignment="1" applyProtection="1">
      <alignment vertical="center"/>
      <protection hidden="1"/>
    </xf>
    <xf numFmtId="170" fontId="4" fillId="0" borderId="35" xfId="0" applyNumberFormat="1" applyFont="1" applyBorder="1" applyAlignment="1" applyProtection="1">
      <alignment vertical="center"/>
      <protection hidden="1"/>
    </xf>
    <xf numFmtId="170" fontId="4" fillId="0" borderId="29" xfId="0" applyNumberFormat="1" applyFont="1" applyBorder="1" applyAlignment="1" applyProtection="1">
      <alignment vertical="center"/>
      <protection hidden="1"/>
    </xf>
    <xf numFmtId="170" fontId="42" fillId="0" borderId="4" xfId="0" applyNumberFormat="1" applyFont="1" applyBorder="1" applyAlignment="1" applyProtection="1">
      <alignment horizontal="right" vertical="center" wrapText="1"/>
      <protection hidden="1"/>
    </xf>
    <xf numFmtId="2" fontId="42" fillId="0" borderId="4" xfId="3" applyNumberFormat="1" applyFont="1" applyBorder="1" applyAlignment="1" applyProtection="1">
      <alignment vertical="center" wrapText="1"/>
      <protection hidden="1"/>
    </xf>
    <xf numFmtId="2" fontId="42" fillId="0" borderId="40" xfId="3" applyNumberFormat="1" applyFont="1" applyBorder="1" applyAlignment="1" applyProtection="1">
      <alignment vertical="center" wrapText="1"/>
      <protection hidden="1"/>
    </xf>
    <xf numFmtId="2" fontId="42" fillId="0" borderId="35" xfId="3" applyNumberFormat="1" applyFont="1" applyBorder="1" applyAlignment="1" applyProtection="1">
      <alignment vertical="center" wrapText="1"/>
      <protection hidden="1"/>
    </xf>
    <xf numFmtId="2" fontId="42" fillId="0" borderId="29" xfId="3" applyNumberFormat="1" applyFont="1" applyBorder="1" applyAlignment="1" applyProtection="1">
      <alignment vertical="center" wrapText="1"/>
      <protection hidden="1"/>
    </xf>
    <xf numFmtId="49" fontId="3" fillId="0" borderId="6" xfId="0" applyNumberFormat="1" applyFont="1" applyBorder="1"/>
    <xf numFmtId="49" fontId="3" fillId="0" borderId="36" xfId="0" applyNumberFormat="1" applyFont="1" applyBorder="1"/>
    <xf numFmtId="170" fontId="5" fillId="0" borderId="30" xfId="0" applyNumberFormat="1" applyFont="1" applyBorder="1" applyAlignment="1" applyProtection="1">
      <alignment vertical="center"/>
      <protection hidden="1"/>
    </xf>
    <xf numFmtId="170" fontId="5" fillId="0" borderId="55" xfId="0" applyNumberFormat="1" applyFont="1" applyBorder="1" applyAlignment="1" applyProtection="1">
      <alignment vertical="center"/>
      <protection hidden="1"/>
    </xf>
    <xf numFmtId="170" fontId="5" fillId="0" borderId="31" xfId="0" applyNumberFormat="1" applyFont="1" applyBorder="1" applyAlignment="1" applyProtection="1">
      <alignment vertical="center"/>
      <protection hidden="1"/>
    </xf>
    <xf numFmtId="0" fontId="5" fillId="22" borderId="64" xfId="0" applyFont="1" applyFill="1" applyBorder="1" applyAlignment="1">
      <alignment horizontal="center" vertical="center" wrapText="1"/>
    </xf>
    <xf numFmtId="170" fontId="4" fillId="0" borderId="32" xfId="2" applyNumberFormat="1" applyFont="1" applyFill="1" applyBorder="1" applyAlignment="1" applyProtection="1">
      <alignment vertical="center"/>
      <protection hidden="1"/>
    </xf>
    <xf numFmtId="170" fontId="4" fillId="0" borderId="66" xfId="2" applyNumberFormat="1" applyFont="1" applyFill="1" applyBorder="1" applyAlignment="1" applyProtection="1">
      <alignment vertical="center"/>
      <protection hidden="1"/>
    </xf>
    <xf numFmtId="170" fontId="4" fillId="0" borderId="33" xfId="2" applyNumberFormat="1" applyFont="1" applyFill="1" applyBorder="1" applyAlignment="1" applyProtection="1">
      <alignment vertical="center"/>
      <protection hidden="1"/>
    </xf>
    <xf numFmtId="9" fontId="59" fillId="0" borderId="42" xfId="0" quotePrefix="1" applyNumberFormat="1" applyFont="1" applyBorder="1" applyAlignment="1">
      <alignment horizontal="center"/>
    </xf>
    <xf numFmtId="9" fontId="59" fillId="0" borderId="51" xfId="0" quotePrefix="1" applyNumberFormat="1" applyFont="1" applyBorder="1" applyAlignment="1">
      <alignment horizontal="center"/>
    </xf>
    <xf numFmtId="164" fontId="59" fillId="0" borderId="16" xfId="0" quotePrefix="1" applyNumberFormat="1" applyFont="1" applyBorder="1" applyAlignment="1">
      <alignment horizontal="center"/>
    </xf>
    <xf numFmtId="9" fontId="4" fillId="0" borderId="50" xfId="2" applyNumberFormat="1" applyFont="1" applyFill="1" applyBorder="1" applyAlignment="1" applyProtection="1">
      <alignment vertical="center"/>
      <protection hidden="1"/>
    </xf>
    <xf numFmtId="9" fontId="4" fillId="0" borderId="42" xfId="2" applyNumberFormat="1" applyFont="1" applyFill="1" applyBorder="1" applyAlignment="1" applyProtection="1">
      <alignment vertical="center"/>
      <protection hidden="1"/>
    </xf>
    <xf numFmtId="9" fontId="4" fillId="0" borderId="42" xfId="0" applyNumberFormat="1" applyFont="1" applyBorder="1" applyAlignment="1" applyProtection="1">
      <alignment vertical="center"/>
      <protection hidden="1"/>
    </xf>
    <xf numFmtId="9" fontId="4" fillId="0" borderId="51" xfId="2" applyNumberFormat="1" applyFont="1" applyFill="1" applyBorder="1" applyAlignment="1" applyProtection="1">
      <alignment vertical="center"/>
      <protection hidden="1"/>
    </xf>
    <xf numFmtId="170" fontId="5" fillId="0" borderId="36" xfId="2" quotePrefix="1" applyNumberFormat="1" applyFont="1" applyFill="1" applyBorder="1" applyAlignment="1" applyProtection="1">
      <alignment vertical="center"/>
      <protection hidden="1"/>
    </xf>
    <xf numFmtId="170" fontId="5" fillId="23" borderId="36" xfId="2" quotePrefix="1" applyNumberFormat="1" applyFont="1" applyFill="1" applyBorder="1" applyAlignment="1" applyProtection="1">
      <alignment vertical="center"/>
      <protection hidden="1"/>
    </xf>
    <xf numFmtId="170" fontId="5" fillId="0" borderId="37" xfId="2" quotePrefix="1" applyNumberFormat="1" applyFont="1" applyFill="1" applyBorder="1" applyAlignment="1" applyProtection="1">
      <alignment vertical="center"/>
      <protection hidden="1"/>
    </xf>
    <xf numFmtId="170" fontId="5" fillId="0" borderId="38" xfId="2" quotePrefix="1" applyNumberFormat="1" applyFont="1" applyFill="1" applyBorder="1" applyAlignment="1" applyProtection="1">
      <alignment vertical="center"/>
      <protection hidden="1"/>
    </xf>
    <xf numFmtId="170" fontId="5" fillId="0" borderId="39" xfId="2" quotePrefix="1" applyNumberFormat="1" applyFont="1" applyFill="1" applyBorder="1" applyAlignment="1" applyProtection="1">
      <alignment vertical="center"/>
      <protection hidden="1"/>
    </xf>
    <xf numFmtId="0" fontId="61" fillId="16" borderId="11" xfId="0" applyFont="1" applyFill="1" applyBorder="1" applyAlignment="1" applyProtection="1">
      <alignment horizontal="left" vertical="center" wrapText="1"/>
      <protection hidden="1"/>
    </xf>
    <xf numFmtId="170" fontId="17" fillId="19" borderId="65" xfId="0" applyNumberFormat="1" applyFont="1" applyFill="1" applyBorder="1" applyAlignment="1" applyProtection="1">
      <alignment vertical="center"/>
      <protection hidden="1"/>
    </xf>
    <xf numFmtId="170" fontId="17" fillId="19" borderId="52" xfId="0" applyNumberFormat="1" applyFont="1" applyFill="1" applyBorder="1" applyAlignment="1" applyProtection="1">
      <alignment vertical="center"/>
      <protection hidden="1"/>
    </xf>
    <xf numFmtId="170" fontId="17" fillId="19" borderId="53" xfId="0" applyNumberFormat="1" applyFont="1" applyFill="1" applyBorder="1" applyAlignment="1" applyProtection="1">
      <alignment vertical="center"/>
      <protection hidden="1"/>
    </xf>
    <xf numFmtId="170" fontId="4" fillId="0" borderId="30" xfId="2" applyNumberFormat="1" applyFont="1" applyFill="1" applyBorder="1" applyAlignment="1" applyProtection="1">
      <alignment vertical="center"/>
      <protection hidden="1"/>
    </xf>
    <xf numFmtId="170" fontId="4" fillId="0" borderId="55" xfId="2" applyNumberFormat="1" applyFont="1" applyFill="1" applyBorder="1" applyAlignment="1" applyProtection="1">
      <alignment vertical="center"/>
      <protection hidden="1"/>
    </xf>
    <xf numFmtId="170" fontId="4" fillId="0" borderId="31" xfId="2" applyNumberFormat="1" applyFont="1" applyFill="1" applyBorder="1" applyAlignment="1" applyProtection="1">
      <alignment vertical="center"/>
      <protection hidden="1"/>
    </xf>
    <xf numFmtId="170" fontId="4" fillId="0" borderId="43" xfId="0" applyNumberFormat="1" applyFont="1" applyBorder="1" applyAlignment="1" applyProtection="1">
      <alignment vertical="center"/>
      <protection hidden="1"/>
    </xf>
    <xf numFmtId="170" fontId="4" fillId="0" borderId="44" xfId="0" applyNumberFormat="1" applyFont="1" applyBorder="1" applyAlignment="1" applyProtection="1">
      <alignment vertical="center"/>
      <protection hidden="1"/>
    </xf>
    <xf numFmtId="170" fontId="4" fillId="0" borderId="45" xfId="0" applyNumberFormat="1" applyFont="1" applyBorder="1" applyAlignment="1" applyProtection="1">
      <alignment vertical="center"/>
      <protection hidden="1"/>
    </xf>
    <xf numFmtId="170" fontId="5" fillId="0" borderId="65" xfId="0" applyNumberFormat="1" applyFont="1" applyBorder="1" applyAlignment="1" applyProtection="1">
      <alignment vertical="center"/>
      <protection hidden="1"/>
    </xf>
    <xf numFmtId="170" fontId="5" fillId="0" borderId="52" xfId="0" applyNumberFormat="1" applyFont="1" applyBorder="1" applyAlignment="1" applyProtection="1">
      <alignment vertical="center"/>
      <protection hidden="1"/>
    </xf>
    <xf numFmtId="170" fontId="5" fillId="0" borderId="53" xfId="0" applyNumberFormat="1" applyFont="1" applyBorder="1" applyAlignment="1" applyProtection="1">
      <alignment vertical="center"/>
      <protection hidden="1"/>
    </xf>
    <xf numFmtId="170" fontId="4" fillId="0" borderId="32" xfId="0" applyNumberFormat="1" applyFont="1" applyBorder="1" applyAlignment="1" applyProtection="1">
      <alignment vertical="center"/>
      <protection hidden="1"/>
    </xf>
    <xf numFmtId="170" fontId="4" fillId="0" borderId="66" xfId="0" applyNumberFormat="1" applyFont="1" applyBorder="1" applyAlignment="1" applyProtection="1">
      <alignment vertical="center"/>
      <protection hidden="1"/>
    </xf>
    <xf numFmtId="170" fontId="4" fillId="0" borderId="33" xfId="0" applyNumberFormat="1" applyFont="1" applyBorder="1" applyAlignment="1" applyProtection="1">
      <alignment vertical="center"/>
      <protection hidden="1"/>
    </xf>
    <xf numFmtId="170" fontId="5" fillId="0" borderId="65" xfId="2" applyNumberFormat="1" applyFont="1" applyFill="1" applyBorder="1" applyAlignment="1" applyProtection="1">
      <alignment vertical="center"/>
      <protection hidden="1"/>
    </xf>
    <xf numFmtId="170" fontId="5" fillId="0" borderId="52" xfId="2" applyNumberFormat="1" applyFont="1" applyFill="1" applyBorder="1" applyAlignment="1" applyProtection="1">
      <alignment vertical="center"/>
      <protection hidden="1"/>
    </xf>
    <xf numFmtId="170" fontId="5" fillId="0" borderId="53" xfId="2" applyNumberFormat="1" applyFont="1" applyFill="1" applyBorder="1" applyAlignment="1" applyProtection="1">
      <alignment vertical="center"/>
      <protection hidden="1"/>
    </xf>
    <xf numFmtId="170" fontId="5" fillId="0" borderId="55" xfId="2" applyNumberFormat="1" applyFont="1" applyFill="1" applyBorder="1" applyAlignment="1" applyProtection="1">
      <alignment vertical="center"/>
      <protection hidden="1"/>
    </xf>
    <xf numFmtId="170" fontId="5" fillId="0" borderId="31" xfId="2" applyNumberFormat="1" applyFont="1" applyFill="1" applyBorder="1" applyAlignment="1" applyProtection="1">
      <alignment vertical="center"/>
      <protection hidden="1"/>
    </xf>
    <xf numFmtId="168" fontId="4" fillId="12" borderId="50" xfId="0" applyNumberFormat="1" applyFont="1" applyFill="1" applyBorder="1" applyAlignment="1">
      <alignment vertical="center"/>
    </xf>
    <xf numFmtId="167" fontId="21" fillId="0" borderId="42" xfId="5" applyNumberFormat="1" applyFont="1" applyFill="1" applyBorder="1" applyAlignment="1" applyProtection="1">
      <alignment vertical="center"/>
      <protection locked="0"/>
    </xf>
    <xf numFmtId="0" fontId="5" fillId="11" borderId="65" xfId="0" applyFont="1" applyFill="1" applyBorder="1" applyAlignment="1">
      <alignment horizontal="center" vertical="center"/>
    </xf>
    <xf numFmtId="0" fontId="5" fillId="11" borderId="52" xfId="0" applyFont="1" applyFill="1" applyBorder="1" applyAlignment="1">
      <alignment horizontal="center" vertical="center"/>
    </xf>
    <xf numFmtId="0" fontId="5" fillId="11" borderId="53" xfId="0" applyFont="1" applyFill="1" applyBorder="1" applyAlignment="1">
      <alignment horizontal="center" vertical="center"/>
    </xf>
    <xf numFmtId="0" fontId="5" fillId="20" borderId="56" xfId="0" applyFont="1" applyFill="1" applyBorder="1" applyAlignment="1">
      <alignment horizontal="center" vertical="center"/>
    </xf>
    <xf numFmtId="167" fontId="21" fillId="13" borderId="27" xfId="5" applyNumberFormat="1" applyFont="1" applyFill="1" applyBorder="1" applyAlignment="1" applyProtection="1">
      <alignment vertical="center"/>
      <protection locked="0"/>
    </xf>
    <xf numFmtId="167" fontId="21" fillId="13" borderId="49" xfId="5" applyNumberFormat="1" applyFont="1" applyFill="1" applyBorder="1" applyAlignment="1" applyProtection="1">
      <alignment vertical="center"/>
      <protection locked="0"/>
    </xf>
    <xf numFmtId="167" fontId="21" fillId="13" borderId="9" xfId="5" applyNumberFormat="1" applyFont="1" applyFill="1" applyBorder="1" applyAlignment="1" applyProtection="1">
      <alignment vertical="center"/>
      <protection locked="0"/>
    </xf>
    <xf numFmtId="167" fontId="21" fillId="0" borderId="43" xfId="5" applyNumberFormat="1" applyFont="1" applyFill="1" applyBorder="1" applyAlignment="1" applyProtection="1">
      <alignment vertical="center"/>
      <protection locked="0"/>
    </xf>
    <xf numFmtId="167" fontId="21" fillId="0" borderId="44" xfId="5" applyNumberFormat="1" applyFont="1" applyFill="1" applyBorder="1" applyAlignment="1" applyProtection="1">
      <alignment vertical="center"/>
      <protection locked="0"/>
    </xf>
    <xf numFmtId="167" fontId="21" fillId="0" borderId="32" xfId="5" applyNumberFormat="1" applyFont="1" applyFill="1" applyBorder="1" applyAlignment="1" applyProtection="1">
      <alignment vertical="center"/>
      <protection locked="0"/>
    </xf>
    <xf numFmtId="167" fontId="21" fillId="0" borderId="66" xfId="5" applyNumberFormat="1" applyFont="1" applyFill="1" applyBorder="1" applyAlignment="1" applyProtection="1">
      <alignment vertical="center"/>
      <protection locked="0"/>
    </xf>
    <xf numFmtId="167" fontId="5" fillId="20" borderId="36" xfId="5" applyNumberFormat="1" applyFont="1" applyFill="1" applyBorder="1" applyAlignment="1">
      <alignment vertical="center"/>
    </xf>
    <xf numFmtId="167" fontId="21" fillId="0" borderId="41" xfId="5" applyNumberFormat="1" applyFont="1" applyFill="1" applyBorder="1" applyAlignment="1" applyProtection="1">
      <alignment vertical="center"/>
      <protection locked="0"/>
    </xf>
    <xf numFmtId="167" fontId="21" fillId="0" borderId="51" xfId="5" applyNumberFormat="1" applyFont="1" applyFill="1" applyBorder="1" applyAlignment="1" applyProtection="1">
      <alignment vertical="center"/>
      <protection locked="0"/>
    </xf>
    <xf numFmtId="167" fontId="21" fillId="0" borderId="57" xfId="5" applyNumberFormat="1" applyFont="1" applyFill="1" applyBorder="1" applyAlignment="1" applyProtection="1">
      <alignment vertical="center"/>
      <protection locked="0"/>
    </xf>
    <xf numFmtId="0" fontId="19" fillId="13" borderId="19" xfId="0" applyFont="1" applyFill="1" applyBorder="1" applyAlignment="1">
      <alignment horizontal="left" vertical="center"/>
    </xf>
    <xf numFmtId="0" fontId="19" fillId="13" borderId="23" xfId="0" applyFont="1" applyFill="1" applyBorder="1" applyAlignment="1">
      <alignment horizontal="left" vertical="center"/>
    </xf>
    <xf numFmtId="168" fontId="4" fillId="12" borderId="67" xfId="0" applyNumberFormat="1" applyFont="1" applyFill="1" applyBorder="1" applyAlignment="1">
      <alignment vertical="center"/>
    </xf>
    <xf numFmtId="167" fontId="21" fillId="0" borderId="68" xfId="5" applyNumberFormat="1" applyFont="1" applyFill="1" applyBorder="1" applyAlignment="1" applyProtection="1">
      <alignment vertical="center"/>
      <protection locked="0"/>
    </xf>
    <xf numFmtId="168" fontId="4" fillId="12" borderId="68" xfId="0" applyNumberFormat="1" applyFont="1" applyFill="1" applyBorder="1" applyAlignment="1">
      <alignment vertical="center"/>
    </xf>
    <xf numFmtId="167" fontId="5" fillId="20" borderId="1" xfId="5" applyNumberFormat="1" applyFont="1" applyFill="1" applyBorder="1" applyAlignment="1">
      <alignment vertical="center"/>
    </xf>
    <xf numFmtId="167" fontId="5" fillId="20" borderId="52" xfId="5" applyNumberFormat="1" applyFont="1" applyFill="1" applyBorder="1" applyAlignment="1">
      <alignment vertical="center"/>
    </xf>
    <xf numFmtId="167" fontId="5" fillId="20" borderId="2" xfId="5" applyNumberFormat="1" applyFont="1" applyFill="1" applyBorder="1" applyAlignment="1">
      <alignment vertical="center"/>
    </xf>
    <xf numFmtId="167" fontId="5" fillId="20" borderId="6" xfId="5" applyNumberFormat="1" applyFont="1" applyFill="1" applyBorder="1" applyAlignment="1">
      <alignment vertical="center"/>
    </xf>
    <xf numFmtId="167" fontId="5" fillId="20" borderId="55" xfId="5" applyNumberFormat="1" applyFont="1" applyFill="1" applyBorder="1" applyAlignment="1">
      <alignment vertical="center"/>
    </xf>
    <xf numFmtId="167" fontId="5" fillId="20" borderId="7" xfId="5" applyNumberFormat="1" applyFont="1" applyFill="1" applyBorder="1" applyAlignment="1">
      <alignment vertical="center"/>
    </xf>
    <xf numFmtId="167" fontId="21" fillId="0" borderId="45" xfId="5" applyNumberFormat="1" applyFont="1" applyFill="1" applyBorder="1" applyAlignment="1" applyProtection="1">
      <alignment vertical="center"/>
      <protection locked="0"/>
    </xf>
    <xf numFmtId="167" fontId="21" fillId="0" borderId="21" xfId="5" applyNumberFormat="1" applyFont="1" applyFill="1" applyBorder="1" applyAlignment="1" applyProtection="1">
      <alignment vertical="center"/>
      <protection locked="0"/>
    </xf>
    <xf numFmtId="167" fontId="21" fillId="0" borderId="33" xfId="5" applyNumberFormat="1" applyFont="1" applyFill="1" applyBorder="1" applyAlignment="1" applyProtection="1">
      <alignment vertical="center"/>
      <protection locked="0"/>
    </xf>
    <xf numFmtId="168" fontId="4" fillId="12" borderId="69" xfId="0" applyNumberFormat="1" applyFont="1" applyFill="1" applyBorder="1" applyAlignment="1">
      <alignment vertical="center"/>
    </xf>
    <xf numFmtId="168" fontId="4" fillId="12" borderId="26" xfId="0" applyNumberFormat="1" applyFont="1" applyFill="1" applyBorder="1" applyAlignment="1">
      <alignment vertical="center"/>
    </xf>
    <xf numFmtId="167" fontId="5" fillId="20" borderId="4" xfId="5" applyNumberFormat="1" applyFont="1" applyFill="1" applyBorder="1" applyAlignment="1">
      <alignment vertical="center"/>
    </xf>
    <xf numFmtId="167" fontId="5" fillId="20" borderId="35" xfId="5" applyNumberFormat="1" applyFont="1" applyFill="1" applyBorder="1" applyAlignment="1">
      <alignment vertical="center"/>
    </xf>
    <xf numFmtId="167" fontId="5" fillId="20" borderId="0" xfId="5" applyNumberFormat="1" applyFont="1" applyFill="1" applyBorder="1" applyAlignment="1">
      <alignment vertical="center"/>
    </xf>
    <xf numFmtId="168" fontId="4" fillId="12" borderId="47" xfId="0" applyNumberFormat="1" applyFont="1" applyFill="1" applyBorder="1" applyAlignment="1">
      <alignment vertical="center"/>
    </xf>
    <xf numFmtId="167" fontId="21" fillId="0" borderId="50" xfId="5" applyNumberFormat="1" applyFont="1" applyFill="1" applyBorder="1" applyAlignment="1" applyProtection="1">
      <alignment vertical="center"/>
      <protection locked="0"/>
    </xf>
    <xf numFmtId="167" fontId="21" fillId="0" borderId="47" xfId="5" applyNumberFormat="1" applyFont="1" applyFill="1" applyBorder="1" applyAlignment="1" applyProtection="1">
      <alignment vertical="center"/>
      <protection locked="0"/>
    </xf>
    <xf numFmtId="2" fontId="0" fillId="0" borderId="46" xfId="0" applyNumberFormat="1" applyBorder="1"/>
    <xf numFmtId="2" fontId="0" fillId="0" borderId="43" xfId="0" applyNumberFormat="1" applyBorder="1"/>
    <xf numFmtId="2" fontId="0" fillId="0" borderId="44" xfId="0" applyNumberFormat="1" applyBorder="1"/>
    <xf numFmtId="2" fontId="0" fillId="0" borderId="45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0" borderId="32" xfId="0" applyNumberFormat="1" applyBorder="1"/>
    <xf numFmtId="2" fontId="0" fillId="0" borderId="66" xfId="0" applyNumberFormat="1" applyBorder="1"/>
    <xf numFmtId="2" fontId="0" fillId="0" borderId="33" xfId="0" applyNumberFormat="1" applyBorder="1"/>
    <xf numFmtId="0" fontId="5" fillId="11" borderId="36" xfId="0" applyFont="1" applyFill="1" applyBorder="1" applyAlignment="1">
      <alignment horizontal="center" vertical="center"/>
    </xf>
    <xf numFmtId="0" fontId="5" fillId="11" borderId="56" xfId="0" applyFont="1" applyFill="1" applyBorder="1" applyAlignment="1">
      <alignment horizontal="center" vertical="center"/>
    </xf>
    <xf numFmtId="2" fontId="0" fillId="0" borderId="56" xfId="0" applyNumberFormat="1" applyBorder="1"/>
    <xf numFmtId="2" fontId="0" fillId="0" borderId="54" xfId="0" applyNumberFormat="1" applyBorder="1"/>
    <xf numFmtId="2" fontId="0" fillId="0" borderId="57" xfId="0" applyNumberFormat="1" applyBorder="1"/>
    <xf numFmtId="43" fontId="0" fillId="0" borderId="56" xfId="1" applyFont="1" applyBorder="1"/>
    <xf numFmtId="43" fontId="0" fillId="0" borderId="54" xfId="1" applyFont="1" applyBorder="1"/>
    <xf numFmtId="43" fontId="0" fillId="0" borderId="57" xfId="1" applyFont="1" applyBorder="1"/>
    <xf numFmtId="0" fontId="5" fillId="0" borderId="0" xfId="0" applyFont="1" applyAlignment="1">
      <alignment horizontal="center" vertical="center"/>
    </xf>
    <xf numFmtId="2" fontId="0" fillId="0" borderId="46" xfId="3" applyNumberFormat="1" applyFont="1" applyBorder="1"/>
    <xf numFmtId="0" fontId="5" fillId="0" borderId="17" xfId="0" applyFont="1" applyBorder="1" applyAlignment="1">
      <alignment horizontal="center" vertical="center"/>
    </xf>
    <xf numFmtId="0" fontId="5" fillId="11" borderId="43" xfId="0" applyFont="1" applyFill="1" applyBorder="1" applyAlignment="1">
      <alignment horizontal="center" vertical="center"/>
    </xf>
    <xf numFmtId="0" fontId="5" fillId="11" borderId="44" xfId="0" applyFont="1" applyFill="1" applyBorder="1" applyAlignment="1">
      <alignment horizontal="center" vertical="center"/>
    </xf>
    <xf numFmtId="0" fontId="5" fillId="11" borderId="45" xfId="0" applyFont="1" applyFill="1" applyBorder="1" applyAlignment="1">
      <alignment horizontal="center" vertical="center"/>
    </xf>
    <xf numFmtId="0" fontId="5" fillId="11" borderId="32" xfId="0" applyFont="1" applyFill="1" applyBorder="1" applyAlignment="1">
      <alignment horizontal="center" vertical="center"/>
    </xf>
    <xf numFmtId="0" fontId="5" fillId="11" borderId="66" xfId="0" applyFont="1" applyFill="1" applyBorder="1" applyAlignment="1">
      <alignment horizontal="center" vertical="center"/>
    </xf>
    <xf numFmtId="0" fontId="5" fillId="11" borderId="33" xfId="0" applyFont="1" applyFill="1" applyBorder="1" applyAlignment="1">
      <alignment horizontal="center" vertical="center"/>
    </xf>
    <xf numFmtId="44" fontId="0" fillId="0" borderId="56" xfId="0" applyNumberFormat="1" applyBorder="1"/>
    <xf numFmtId="44" fontId="0" fillId="0" borderId="54" xfId="0" applyNumberFormat="1" applyBorder="1"/>
    <xf numFmtId="44" fontId="0" fillId="0" borderId="57" xfId="0" applyNumberFormat="1" applyBorder="1"/>
    <xf numFmtId="0" fontId="3" fillId="0" borderId="3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70" fontId="4" fillId="0" borderId="0" xfId="2" applyNumberFormat="1" applyFont="1" applyFill="1" applyBorder="1" applyAlignment="1" applyProtection="1">
      <alignment horizontal="left" vertical="center"/>
      <protection hidden="1"/>
    </xf>
    <xf numFmtId="170" fontId="4" fillId="0" borderId="0" xfId="0" applyNumberFormat="1" applyFont="1" applyAlignment="1" applyProtection="1">
      <alignment horizontal="left" vertical="center"/>
      <protection hidden="1"/>
    </xf>
    <xf numFmtId="8" fontId="31" fillId="0" borderId="0" xfId="3" applyNumberFormat="1" applyFont="1" applyFill="1" applyBorder="1" applyAlignment="1" applyProtection="1">
      <alignment horizontal="left" vertical="center"/>
      <protection hidden="1"/>
    </xf>
    <xf numFmtId="170" fontId="5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170" fontId="5" fillId="0" borderId="0" xfId="0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170" fontId="4" fillId="0" borderId="46" xfId="0" applyNumberFormat="1" applyFont="1" applyBorder="1" applyAlignment="1" applyProtection="1">
      <alignment horizontal="right" vertical="center"/>
      <protection hidden="1"/>
    </xf>
    <xf numFmtId="170" fontId="4" fillId="0" borderId="43" xfId="0" applyNumberFormat="1" applyFont="1" applyBorder="1" applyAlignment="1" applyProtection="1">
      <alignment horizontal="right" vertical="center"/>
      <protection hidden="1"/>
    </xf>
    <xf numFmtId="170" fontId="4" fillId="0" borderId="44" xfId="0" applyNumberFormat="1" applyFont="1" applyBorder="1" applyAlignment="1" applyProtection="1">
      <alignment horizontal="right" vertical="center"/>
      <protection hidden="1"/>
    </xf>
    <xf numFmtId="170" fontId="4" fillId="0" borderId="45" xfId="0" applyNumberFormat="1" applyFont="1" applyBorder="1" applyAlignment="1" applyProtection="1">
      <alignment horizontal="right" vertical="center"/>
      <protection hidden="1"/>
    </xf>
    <xf numFmtId="170" fontId="4" fillId="0" borderId="20" xfId="0" applyNumberFormat="1" applyFont="1" applyBorder="1" applyAlignment="1" applyProtection="1">
      <alignment horizontal="right" vertical="center"/>
      <protection hidden="1"/>
    </xf>
    <xf numFmtId="170" fontId="4" fillId="0" borderId="21" xfId="0" applyNumberFormat="1" applyFont="1" applyBorder="1" applyAlignment="1" applyProtection="1">
      <alignment horizontal="right" vertical="center"/>
      <protection hidden="1"/>
    </xf>
    <xf numFmtId="170" fontId="4" fillId="0" borderId="32" xfId="0" applyNumberFormat="1" applyFont="1" applyBorder="1" applyAlignment="1" applyProtection="1">
      <alignment horizontal="right" vertical="center"/>
      <protection hidden="1"/>
    </xf>
    <xf numFmtId="170" fontId="4" fillId="0" borderId="66" xfId="0" applyNumberFormat="1" applyFont="1" applyBorder="1" applyAlignment="1" applyProtection="1">
      <alignment horizontal="right" vertical="center"/>
      <protection hidden="1"/>
    </xf>
    <xf numFmtId="170" fontId="4" fillId="0" borderId="33" xfId="0" applyNumberFormat="1" applyFont="1" applyBorder="1" applyAlignment="1" applyProtection="1">
      <alignment horizontal="right" vertical="center"/>
      <protection hidden="1"/>
    </xf>
    <xf numFmtId="0" fontId="5" fillId="0" borderId="23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9" borderId="16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5" fillId="10" borderId="56" xfId="0" applyFont="1" applyFill="1" applyBorder="1" applyAlignment="1">
      <alignment horizontal="center" vertical="center"/>
    </xf>
    <xf numFmtId="0" fontId="5" fillId="10" borderId="54" xfId="0" applyFont="1" applyFill="1" applyBorder="1" applyAlignment="1">
      <alignment horizontal="center" vertical="center"/>
    </xf>
    <xf numFmtId="0" fontId="5" fillId="10" borderId="57" xfId="0" applyFont="1" applyFill="1" applyBorder="1" applyAlignment="1">
      <alignment horizontal="center" vertical="center"/>
    </xf>
    <xf numFmtId="0" fontId="5" fillId="7" borderId="56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57" xfId="0" applyFont="1" applyFill="1" applyBorder="1" applyAlignment="1">
      <alignment horizontal="center" vertical="center" wrapText="1"/>
    </xf>
    <xf numFmtId="0" fontId="62" fillId="7" borderId="1" xfId="0" applyFont="1" applyFill="1" applyBorder="1" applyAlignment="1">
      <alignment horizontal="left" vertical="center" wrapText="1"/>
    </xf>
    <xf numFmtId="0" fontId="17" fillId="7" borderId="2" xfId="0" applyFont="1" applyFill="1" applyBorder="1" applyAlignment="1">
      <alignment horizontal="left" vertical="center" wrapText="1"/>
    </xf>
    <xf numFmtId="0" fontId="17" fillId="7" borderId="3" xfId="0" applyFont="1" applyFill="1" applyBorder="1" applyAlignment="1">
      <alignment horizontal="left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17" fillId="7" borderId="7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center" wrapText="1"/>
    </xf>
    <xf numFmtId="167" fontId="31" fillId="0" borderId="4" xfId="5" applyNumberFormat="1" applyFont="1" applyFill="1" applyBorder="1" applyAlignment="1">
      <alignment horizontal="left" vertical="center"/>
    </xf>
    <xf numFmtId="167" fontId="31" fillId="0" borderId="0" xfId="5" applyNumberFormat="1" applyFont="1" applyFill="1" applyBorder="1" applyAlignment="1">
      <alignment horizontal="left" vertical="center"/>
    </xf>
    <xf numFmtId="0" fontId="16" fillId="4" borderId="34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61" fillId="16" borderId="34" xfId="0" applyFont="1" applyFill="1" applyBorder="1" applyAlignment="1" applyProtection="1">
      <alignment horizontal="left" vertical="center" wrapText="1"/>
      <protection hidden="1"/>
    </xf>
    <xf numFmtId="0" fontId="61" fillId="16" borderId="55" xfId="0" applyFont="1" applyFill="1" applyBorder="1" applyAlignment="1" applyProtection="1">
      <alignment horizontal="left" vertical="center" wrapText="1"/>
      <protection hidden="1"/>
    </xf>
    <xf numFmtId="0" fontId="25" fillId="14" borderId="16" xfId="0" applyFont="1" applyFill="1" applyBorder="1" applyAlignment="1" applyProtection="1">
      <alignment horizontal="left" vertical="center"/>
      <protection hidden="1"/>
    </xf>
    <xf numFmtId="0" fontId="25" fillId="14" borderId="17" xfId="0" applyFont="1" applyFill="1" applyBorder="1" applyAlignment="1" applyProtection="1">
      <alignment horizontal="left" vertical="center"/>
      <protection hidden="1"/>
    </xf>
    <xf numFmtId="0" fontId="17" fillId="0" borderId="0" xfId="0" applyFont="1" applyAlignment="1">
      <alignment vertical="center" wrapText="1"/>
    </xf>
    <xf numFmtId="0" fontId="4" fillId="0" borderId="0" xfId="0" applyFont="1" applyAlignment="1" applyProtection="1">
      <alignment horizontal="right" vertical="center"/>
      <protection hidden="1"/>
    </xf>
    <xf numFmtId="0" fontId="63" fillId="0" borderId="16" xfId="0" applyFont="1" applyBorder="1" applyAlignment="1">
      <alignment horizontal="left" vertical="center"/>
    </xf>
    <xf numFmtId="0" fontId="63" fillId="0" borderId="59" xfId="0" applyFont="1" applyBorder="1" applyAlignment="1">
      <alignment horizontal="left" vertical="center"/>
    </xf>
    <xf numFmtId="0" fontId="63" fillId="0" borderId="17" xfId="0" applyFont="1" applyBorder="1" applyAlignment="1">
      <alignment horizontal="left" vertical="center"/>
    </xf>
    <xf numFmtId="167" fontId="4" fillId="0" borderId="4" xfId="5" applyNumberFormat="1" applyFont="1" applyFill="1" applyBorder="1" applyAlignment="1">
      <alignment vertical="center"/>
    </xf>
    <xf numFmtId="167" fontId="4" fillId="0" borderId="5" xfId="5" applyNumberFormat="1" applyFont="1" applyFill="1" applyBorder="1" applyAlignment="1">
      <alignment vertical="center"/>
    </xf>
    <xf numFmtId="167" fontId="4" fillId="0" borderId="46" xfId="5" applyNumberFormat="1" applyFont="1" applyFill="1" applyBorder="1" applyAlignment="1">
      <alignment vertical="center"/>
    </xf>
    <xf numFmtId="167" fontId="31" fillId="0" borderId="0" xfId="5" applyNumberFormat="1" applyFont="1" applyFill="1" applyBorder="1" applyAlignment="1">
      <alignment vertical="center"/>
    </xf>
  </cellXfs>
  <cellStyles count="7">
    <cellStyle name="Collegamento ipertestuale" xfId="4" builtinId="8"/>
    <cellStyle name="Euro" xfId="5" xr:uid="{05108A6A-1253-46EA-BF5A-1026C844DD65}"/>
    <cellStyle name="Migliaia" xfId="1" builtinId="3"/>
    <cellStyle name="Migliaia [0]" xfId="2" builtinId="6"/>
    <cellStyle name="Migliaia 2" xfId="6" xr:uid="{2BF46C29-E157-4109-BE48-80A19076D2BF}"/>
    <cellStyle name="Normale" xfId="0" builtinId="0"/>
    <cellStyle name="Percentuale" xfId="3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abSelected="1" topLeftCell="A13" workbookViewId="0">
      <selection activeCell="C43" sqref="C43"/>
    </sheetView>
  </sheetViews>
  <sheetFormatPr defaultRowHeight="14.4" x14ac:dyDescent="0.3"/>
  <cols>
    <col min="1" max="1" width="8.6640625" customWidth="1"/>
    <col min="2" max="2" width="98.33203125" bestFit="1" customWidth="1"/>
    <col min="3" max="3" width="95.6640625" customWidth="1"/>
  </cols>
  <sheetData>
    <row r="1" spans="1:3" ht="15.6" hidden="1" x14ac:dyDescent="0.3">
      <c r="A1" s="1"/>
      <c r="B1" s="2"/>
      <c r="C1" s="3"/>
    </row>
    <row r="2" spans="1:3" ht="15.6" hidden="1" x14ac:dyDescent="0.3">
      <c r="A2" s="4"/>
      <c r="B2" s="5"/>
      <c r="C2" s="6"/>
    </row>
    <row r="3" spans="1:3" ht="15.6" x14ac:dyDescent="0.3">
      <c r="A3" s="4"/>
      <c r="B3" s="5"/>
      <c r="C3" s="522"/>
    </row>
    <row r="4" spans="1:3" ht="18.600000000000001" customHeight="1" x14ac:dyDescent="0.3">
      <c r="A4" s="4"/>
      <c r="B4" s="7" t="s">
        <v>0</v>
      </c>
      <c r="C4" s="522"/>
    </row>
    <row r="5" spans="1:3" ht="15.6" x14ac:dyDescent="0.3">
      <c r="A5" s="4"/>
      <c r="B5" s="5"/>
      <c r="C5" s="522"/>
    </row>
    <row r="6" spans="1:3" ht="15.6" hidden="1" x14ac:dyDescent="0.3">
      <c r="A6" s="4"/>
      <c r="B6" s="5"/>
      <c r="C6" s="6"/>
    </row>
    <row r="7" spans="1:3" ht="16.2" hidden="1" thickBot="1" x14ac:dyDescent="0.35">
      <c r="A7" s="8"/>
      <c r="B7" s="9"/>
      <c r="C7" s="10"/>
    </row>
    <row r="8" spans="1:3" ht="30" customHeight="1" thickBot="1" x14ac:dyDescent="0.35">
      <c r="A8" s="11">
        <v>1</v>
      </c>
      <c r="B8" s="12" t="s">
        <v>1</v>
      </c>
      <c r="C8" s="13"/>
    </row>
    <row r="9" spans="1:3" ht="15.6" hidden="1" x14ac:dyDescent="0.3">
      <c r="A9" s="14"/>
      <c r="B9" s="15"/>
      <c r="C9" s="16"/>
    </row>
    <row r="10" spans="1:3" ht="16.2" hidden="1" thickBot="1" x14ac:dyDescent="0.35">
      <c r="A10" s="17"/>
      <c r="B10" s="18" t="e">
        <f>#REF!</f>
        <v>#REF!</v>
      </c>
      <c r="C10" s="19"/>
    </row>
    <row r="11" spans="1:3" ht="16.2" thickBot="1" x14ac:dyDescent="0.35">
      <c r="A11" s="20" t="s">
        <v>125</v>
      </c>
      <c r="B11" s="21" t="s">
        <v>2</v>
      </c>
      <c r="C11" s="22"/>
    </row>
    <row r="12" spans="1:3" ht="31.8" thickBot="1" x14ac:dyDescent="0.35">
      <c r="A12" s="23"/>
      <c r="B12" s="24" t="s">
        <v>130</v>
      </c>
      <c r="C12" s="25" t="s">
        <v>156</v>
      </c>
    </row>
    <row r="13" spans="1:3" ht="16.2" thickBot="1" x14ac:dyDescent="0.35">
      <c r="A13" s="20" t="s">
        <v>126</v>
      </c>
      <c r="B13" s="21" t="s">
        <v>4</v>
      </c>
      <c r="C13" s="22"/>
    </row>
    <row r="14" spans="1:3" ht="15.6" x14ac:dyDescent="0.3">
      <c r="A14" s="23"/>
      <c r="B14" s="26" t="s">
        <v>131</v>
      </c>
      <c r="C14" s="355" t="s">
        <v>0</v>
      </c>
    </row>
    <row r="15" spans="1:3" ht="15.6" x14ac:dyDescent="0.3">
      <c r="A15" s="23"/>
      <c r="B15" s="24" t="s">
        <v>138</v>
      </c>
      <c r="C15" s="28" t="s">
        <v>5</v>
      </c>
    </row>
    <row r="16" spans="1:3" ht="15.6" x14ac:dyDescent="0.3">
      <c r="A16" s="23"/>
      <c r="B16" s="516" t="s">
        <v>139</v>
      </c>
      <c r="C16" s="517"/>
    </row>
    <row r="17" spans="1:3" ht="16.2" thickBot="1" x14ac:dyDescent="0.35">
      <c r="A17" s="23"/>
      <c r="B17" s="518"/>
      <c r="C17" s="519"/>
    </row>
    <row r="18" spans="1:3" ht="16.2" thickBot="1" x14ac:dyDescent="0.35">
      <c r="A18" s="20" t="s">
        <v>127</v>
      </c>
      <c r="B18" s="30" t="s">
        <v>6</v>
      </c>
      <c r="C18" s="31"/>
    </row>
    <row r="19" spans="1:3" ht="15.6" x14ac:dyDescent="0.3">
      <c r="A19" s="32"/>
      <c r="B19" s="33" t="str">
        <f>B27</f>
        <v>Periodo previsto fino al rilascio della concessione (specificare se anni o mesi)</v>
      </c>
      <c r="C19" s="34">
        <v>5</v>
      </c>
    </row>
    <row r="20" spans="1:3" ht="15.6" x14ac:dyDescent="0.3">
      <c r="A20" s="32"/>
      <c r="B20" s="35" t="str">
        <f t="shared" ref="B20:B25" si="0">B28</f>
        <v>Anno di inizio costruzione</v>
      </c>
      <c r="C20" s="36">
        <v>2023</v>
      </c>
    </row>
    <row r="21" spans="1:3" ht="15.6" x14ac:dyDescent="0.3">
      <c r="A21" s="32"/>
      <c r="B21" s="35" t="str">
        <f t="shared" si="0"/>
        <v>Anni di costruzione (min=1, max=6)</v>
      </c>
      <c r="C21" s="37">
        <v>1</v>
      </c>
    </row>
    <row r="22" spans="1:3" ht="15.6" x14ac:dyDescent="0.3">
      <c r="A22" s="32"/>
      <c r="B22" s="35" t="str">
        <f t="shared" si="0"/>
        <v>Anno di fine costruzione</v>
      </c>
      <c r="C22" s="36">
        <v>1</v>
      </c>
    </row>
    <row r="23" spans="1:3" ht="15.6" x14ac:dyDescent="0.3">
      <c r="A23" s="32"/>
      <c r="B23" s="35" t="str">
        <f t="shared" si="0"/>
        <v>Anno di inizio gestione</v>
      </c>
      <c r="C23" s="38">
        <v>1</v>
      </c>
    </row>
    <row r="24" spans="1:3" ht="15.6" x14ac:dyDescent="0.3">
      <c r="A24" s="32"/>
      <c r="B24" s="35" t="str">
        <f t="shared" si="0"/>
        <v>Anni di gestione</v>
      </c>
      <c r="C24" s="36">
        <v>5</v>
      </c>
    </row>
    <row r="25" spans="1:3" ht="15.6" x14ac:dyDescent="0.3">
      <c r="A25" s="32"/>
      <c r="B25" s="35" t="str">
        <f t="shared" si="0"/>
        <v>Anno di fine gestione                                                                                                                     01-01-2028</v>
      </c>
      <c r="C25" s="37">
        <v>5</v>
      </c>
    </row>
    <row r="26" spans="1:3" ht="15.6" x14ac:dyDescent="0.3">
      <c r="A26" s="32"/>
      <c r="B26" s="35" t="str">
        <f>B35</f>
        <v>Anni di durata del progetto (costruzione + gestione)</v>
      </c>
      <c r="C26" s="39" t="s">
        <v>142</v>
      </c>
    </row>
    <row r="27" spans="1:3" ht="15.6" x14ac:dyDescent="0.3">
      <c r="A27" s="23"/>
      <c r="B27" s="24" t="s">
        <v>7</v>
      </c>
      <c r="C27" s="40">
        <v>5</v>
      </c>
    </row>
    <row r="28" spans="1:3" ht="15.6" x14ac:dyDescent="0.3">
      <c r="A28" s="41"/>
      <c r="B28" s="42" t="s">
        <v>8</v>
      </c>
      <c r="C28" s="43">
        <v>2023</v>
      </c>
    </row>
    <row r="29" spans="1:3" ht="15.6" x14ac:dyDescent="0.3">
      <c r="A29" s="41"/>
      <c r="B29" s="27" t="s">
        <v>9</v>
      </c>
      <c r="C29" s="44">
        <v>1</v>
      </c>
    </row>
    <row r="30" spans="1:3" ht="15.6" x14ac:dyDescent="0.3">
      <c r="A30" s="41"/>
      <c r="B30" s="45" t="s">
        <v>10</v>
      </c>
      <c r="C30" s="46">
        <f>C28+C29-1</f>
        <v>2023</v>
      </c>
    </row>
    <row r="31" spans="1:3" ht="15.6" x14ac:dyDescent="0.3">
      <c r="A31" s="41"/>
      <c r="B31" s="24" t="s">
        <v>11</v>
      </c>
      <c r="C31" s="47">
        <v>2024</v>
      </c>
    </row>
    <row r="32" spans="1:3" ht="15.6" x14ac:dyDescent="0.3">
      <c r="A32" s="48"/>
      <c r="B32" s="24" t="s">
        <v>12</v>
      </c>
      <c r="C32" s="49">
        <v>5</v>
      </c>
    </row>
    <row r="33" spans="1:3" ht="15.6" x14ac:dyDescent="0.3">
      <c r="A33" s="48"/>
      <c r="B33" s="24" t="s">
        <v>13</v>
      </c>
      <c r="C33" s="50">
        <f>C31+C32-1</f>
        <v>2028</v>
      </c>
    </row>
    <row r="34" spans="1:3" ht="15.6" x14ac:dyDescent="0.3">
      <c r="A34" s="41"/>
      <c r="B34" s="26" t="s">
        <v>14</v>
      </c>
      <c r="C34" s="49">
        <v>2028</v>
      </c>
    </row>
    <row r="35" spans="1:3" ht="16.2" thickBot="1" x14ac:dyDescent="0.35">
      <c r="A35" s="41"/>
      <c r="B35" s="45" t="s">
        <v>15</v>
      </c>
      <c r="C35" s="46" t="s">
        <v>142</v>
      </c>
    </row>
    <row r="36" spans="1:3" ht="16.2" thickBot="1" x14ac:dyDescent="0.35">
      <c r="A36" s="20" t="s">
        <v>128</v>
      </c>
      <c r="B36" s="21" t="s">
        <v>16</v>
      </c>
      <c r="C36" s="22"/>
    </row>
    <row r="37" spans="1:3" ht="15.6" x14ac:dyDescent="0.3">
      <c r="A37" s="51"/>
      <c r="B37" s="52" t="s">
        <v>17</v>
      </c>
      <c r="C37" s="53" t="s">
        <v>18</v>
      </c>
    </row>
    <row r="38" spans="1:3" ht="15.6" x14ac:dyDescent="0.3">
      <c r="A38" s="51"/>
      <c r="B38" s="52" t="s">
        <v>19</v>
      </c>
      <c r="C38" s="53" t="s">
        <v>20</v>
      </c>
    </row>
    <row r="39" spans="1:3" ht="16.2" thickBot="1" x14ac:dyDescent="0.35">
      <c r="A39" s="17"/>
      <c r="B39" s="54" t="s">
        <v>21</v>
      </c>
      <c r="C39" s="55" t="s">
        <v>22</v>
      </c>
    </row>
    <row r="40" spans="1:3" ht="16.2" thickBot="1" x14ac:dyDescent="0.35">
      <c r="A40" s="56"/>
      <c r="B40" s="57"/>
      <c r="C40" s="57"/>
    </row>
    <row r="41" spans="1:3" ht="16.2" thickBot="1" x14ac:dyDescent="0.35">
      <c r="A41" s="20" t="s">
        <v>129</v>
      </c>
      <c r="B41" s="520" t="s">
        <v>23</v>
      </c>
      <c r="C41" s="521"/>
    </row>
    <row r="42" spans="1:3" ht="15.6" x14ac:dyDescent="0.3">
      <c r="A42" s="23"/>
      <c r="B42" s="24" t="s">
        <v>24</v>
      </c>
      <c r="C42" s="58">
        <f>'4 - Analisi finanziaria'!C28</f>
        <v>4.267E-2</v>
      </c>
    </row>
    <row r="43" spans="1:3" ht="15.6" x14ac:dyDescent="0.3">
      <c r="A43" s="23"/>
      <c r="B43" s="24" t="s">
        <v>25</v>
      </c>
      <c r="C43" s="59">
        <f>'4 - Analisi finanziaria'!C29</f>
        <v>2863612.9972186494</v>
      </c>
    </row>
    <row r="44" spans="1:3" ht="15.6" x14ac:dyDescent="0.3">
      <c r="A44" s="29"/>
      <c r="B44" s="60" t="s">
        <v>122</v>
      </c>
      <c r="C44" s="61">
        <f>SUM(('5 - Conto Economico'!C9):('5 - Conto Economico'!G9))</f>
        <v>291567.32846954383</v>
      </c>
    </row>
    <row r="45" spans="1:3" ht="15.6" x14ac:dyDescent="0.3">
      <c r="A45" s="29"/>
      <c r="B45" s="60" t="s">
        <v>123</v>
      </c>
      <c r="C45" s="61">
        <f>SUM(('5 - Conto Economico'!C13):('5 - Conto Economico'!G13))</f>
        <v>230241.97846954383</v>
      </c>
    </row>
    <row r="46" spans="1:3" ht="16.2" thickBot="1" x14ac:dyDescent="0.35">
      <c r="A46" s="17"/>
      <c r="B46" s="62" t="s">
        <v>124</v>
      </c>
      <c r="C46" s="63">
        <f>SUM(('5 - Conto Economico'!C18):('5 - Conto Economico'!G18))</f>
        <v>127082.6232182355</v>
      </c>
    </row>
  </sheetData>
  <mergeCells count="3">
    <mergeCell ref="B16:C17"/>
    <mergeCell ref="B41:C41"/>
    <mergeCell ref="C3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DD131-17C2-4069-B72B-32E1450F19F8}">
  <dimension ref="A1:U73"/>
  <sheetViews>
    <sheetView workbookViewId="0">
      <selection activeCell="F25" sqref="F25"/>
    </sheetView>
  </sheetViews>
  <sheetFormatPr defaultRowHeight="14.4" x14ac:dyDescent="0.3"/>
  <cols>
    <col min="1" max="1" width="8.6640625" customWidth="1"/>
    <col min="2" max="2" width="63.6640625" bestFit="1" customWidth="1"/>
    <col min="3" max="7" width="20.6640625" customWidth="1"/>
    <col min="8" max="8" width="19.109375" customWidth="1"/>
    <col min="9" max="9" width="4.88671875" customWidth="1"/>
    <col min="10" max="10" width="14.88671875" bestFit="1" customWidth="1"/>
    <col min="11" max="11" width="13.33203125" customWidth="1"/>
    <col min="12" max="12" width="18.109375" style="330" customWidth="1"/>
    <col min="13" max="17" width="18.109375" customWidth="1"/>
  </cols>
  <sheetData>
    <row r="1" spans="1:17" ht="15" customHeight="1" x14ac:dyDescent="0.3">
      <c r="A1" s="523">
        <v>2</v>
      </c>
      <c r="B1" s="528" t="s">
        <v>154</v>
      </c>
      <c r="C1" s="531" t="s">
        <v>153</v>
      </c>
      <c r="D1" s="532"/>
      <c r="E1" s="532"/>
      <c r="F1" s="532"/>
      <c r="G1" s="532"/>
      <c r="H1" s="533"/>
    </row>
    <row r="2" spans="1:17" ht="15" customHeight="1" thickBot="1" x14ac:dyDescent="0.35">
      <c r="A2" s="524"/>
      <c r="B2" s="529"/>
      <c r="C2" s="534"/>
      <c r="D2" s="535"/>
      <c r="E2" s="535"/>
      <c r="F2" s="535"/>
      <c r="G2" s="535"/>
      <c r="H2" s="536"/>
      <c r="L2" s="330" t="s">
        <v>173</v>
      </c>
    </row>
    <row r="3" spans="1:17" ht="16.2" thickBot="1" x14ac:dyDescent="0.35">
      <c r="A3" s="261" t="s">
        <v>58</v>
      </c>
      <c r="B3" s="530"/>
      <c r="C3" s="64" t="s">
        <v>79</v>
      </c>
      <c r="D3" s="65">
        <v>2025</v>
      </c>
      <c r="E3" s="65">
        <f>D3+1</f>
        <v>2026</v>
      </c>
      <c r="F3" s="65">
        <f>E3+1</f>
        <v>2027</v>
      </c>
      <c r="G3" s="234">
        <f>F3+1</f>
        <v>2028</v>
      </c>
      <c r="H3" s="220" t="s">
        <v>106</v>
      </c>
      <c r="L3" s="64">
        <v>17</v>
      </c>
      <c r="M3" s="64">
        <v>12</v>
      </c>
      <c r="N3" s="64">
        <v>12</v>
      </c>
      <c r="O3" s="64">
        <v>12</v>
      </c>
      <c r="P3" s="478">
        <v>12</v>
      </c>
      <c r="Q3" t="s">
        <v>182</v>
      </c>
    </row>
    <row r="4" spans="1:17" ht="16.8" thickBot="1" x14ac:dyDescent="0.4">
      <c r="A4" s="220" t="s">
        <v>26</v>
      </c>
      <c r="B4" s="66" t="s">
        <v>108</v>
      </c>
      <c r="C4" s="432"/>
      <c r="D4" s="433"/>
      <c r="E4" s="433"/>
      <c r="F4" s="433" t="s">
        <v>3</v>
      </c>
      <c r="G4" s="434"/>
      <c r="H4" s="435"/>
      <c r="K4" s="498" t="s">
        <v>181</v>
      </c>
      <c r="L4" s="432" t="s">
        <v>168</v>
      </c>
      <c r="M4" s="432" t="s">
        <v>169</v>
      </c>
      <c r="N4" s="432" t="s">
        <v>170</v>
      </c>
      <c r="O4" s="432" t="s">
        <v>171</v>
      </c>
      <c r="P4" s="479" t="s">
        <v>172</v>
      </c>
      <c r="Q4" s="371" t="s">
        <v>183</v>
      </c>
    </row>
    <row r="5" spans="1:17" ht="15.6" x14ac:dyDescent="0.3">
      <c r="A5" s="68">
        <v>22</v>
      </c>
      <c r="B5" s="71" t="s">
        <v>27</v>
      </c>
      <c r="C5" s="439">
        <f>$J5*L5</f>
        <v>229982.77427490545</v>
      </c>
      <c r="D5" s="440">
        <f t="shared" ref="D5:G5" si="0">$J$5*M5</f>
        <v>162340.78184110971</v>
      </c>
      <c r="E5" s="440">
        <f t="shared" si="0"/>
        <v>162340.78184110971</v>
      </c>
      <c r="F5" s="440">
        <f t="shared" si="0"/>
        <v>162340.78184110971</v>
      </c>
      <c r="G5" s="458">
        <f t="shared" si="0"/>
        <v>162340.78184110971</v>
      </c>
      <c r="H5" s="430">
        <f t="shared" ref="H5:H22" si="1">SUM(C5:G5)</f>
        <v>879345.9016393444</v>
      </c>
      <c r="I5" s="329"/>
      <c r="J5" s="467">
        <v>879345.90163934429</v>
      </c>
      <c r="K5" s="483">
        <f>H5-J5</f>
        <v>0</v>
      </c>
      <c r="L5" s="470">
        <f>L3/$Q$31</f>
        <v>0.26153846153846155</v>
      </c>
      <c r="M5" s="471">
        <f>M3/$Q$31</f>
        <v>0.18461538461538463</v>
      </c>
      <c r="N5" s="471">
        <f>N3/$Q$31</f>
        <v>0.18461538461538463</v>
      </c>
      <c r="O5" s="471">
        <f>O3/$Q$31</f>
        <v>0.18461538461538463</v>
      </c>
      <c r="P5" s="472">
        <f>P3/$Q$31</f>
        <v>0.18461538461538463</v>
      </c>
      <c r="Q5" s="480">
        <f>SUM(L5:P5)</f>
        <v>1</v>
      </c>
    </row>
    <row r="6" spans="1:17" ht="15.6" x14ac:dyDescent="0.3">
      <c r="A6" s="68">
        <v>22</v>
      </c>
      <c r="B6" s="71" t="s">
        <v>28</v>
      </c>
      <c r="C6" s="69">
        <f t="shared" ref="C6:C11" si="2">$J6*L6</f>
        <v>287313.72005044139</v>
      </c>
      <c r="D6" s="70">
        <f t="shared" ref="D6:D11" si="3">$J6*M6</f>
        <v>202809.68474148802</v>
      </c>
      <c r="E6" s="70">
        <f t="shared" ref="E6:E11" si="4">$J6*N6</f>
        <v>202809.68474148802</v>
      </c>
      <c r="F6" s="70">
        <f t="shared" ref="F6:F11" si="5">$J6*O6</f>
        <v>202809.68474148802</v>
      </c>
      <c r="G6" s="459">
        <f t="shared" ref="G6:G11" si="6">$J6*P6</f>
        <v>202809.68474148802</v>
      </c>
      <c r="H6" s="244">
        <f t="shared" si="1"/>
        <v>1098552.4590163934</v>
      </c>
      <c r="J6" s="431">
        <v>1098552.4590163934</v>
      </c>
      <c r="K6" s="484">
        <f t="shared" ref="K6:K11" si="7">H6-J6</f>
        <v>0</v>
      </c>
      <c r="L6" s="473">
        <v>0.26153846153846155</v>
      </c>
      <c r="M6" s="469">
        <v>0.18461538461538463</v>
      </c>
      <c r="N6" s="469">
        <v>0.18461538461538463</v>
      </c>
      <c r="O6" s="469">
        <v>0.18461538461538463</v>
      </c>
      <c r="P6" s="474">
        <v>0.18461538461538463</v>
      </c>
      <c r="Q6" s="481">
        <v>1</v>
      </c>
    </row>
    <row r="7" spans="1:17" ht="15.6" x14ac:dyDescent="0.3">
      <c r="A7" s="68">
        <v>22</v>
      </c>
      <c r="B7" s="71" t="s">
        <v>29</v>
      </c>
      <c r="C7" s="69">
        <f t="shared" si="2"/>
        <v>60656.128625472891</v>
      </c>
      <c r="D7" s="70">
        <f t="shared" si="3"/>
        <v>42816.090794451455</v>
      </c>
      <c r="E7" s="70">
        <f t="shared" si="4"/>
        <v>42816.090794451455</v>
      </c>
      <c r="F7" s="70">
        <f t="shared" si="5"/>
        <v>42816.090794451455</v>
      </c>
      <c r="G7" s="459">
        <f t="shared" si="6"/>
        <v>42816.090794451455</v>
      </c>
      <c r="H7" s="244">
        <f t="shared" si="1"/>
        <v>231920.49180327868</v>
      </c>
      <c r="J7" s="431">
        <v>231920.49180327868</v>
      </c>
      <c r="K7" s="484">
        <f t="shared" si="7"/>
        <v>0</v>
      </c>
      <c r="L7" s="473">
        <v>0.26153846153846155</v>
      </c>
      <c r="M7" s="469">
        <v>0.18461538461538463</v>
      </c>
      <c r="N7" s="469">
        <v>0.18461538461538463</v>
      </c>
      <c r="O7" s="469">
        <v>0.18461538461538463</v>
      </c>
      <c r="P7" s="474">
        <v>0.18461538461538463</v>
      </c>
      <c r="Q7" s="481">
        <v>1</v>
      </c>
    </row>
    <row r="8" spans="1:17" ht="15.6" x14ac:dyDescent="0.3">
      <c r="A8" s="68">
        <v>22</v>
      </c>
      <c r="B8" s="71" t="s">
        <v>30</v>
      </c>
      <c r="C8" s="69">
        <f t="shared" si="2"/>
        <v>39016.393442622953</v>
      </c>
      <c r="D8" s="70">
        <f t="shared" si="3"/>
        <v>27540.98360655738</v>
      </c>
      <c r="E8" s="70">
        <f t="shared" si="4"/>
        <v>27540.98360655738</v>
      </c>
      <c r="F8" s="70">
        <f t="shared" si="5"/>
        <v>27540.98360655738</v>
      </c>
      <c r="G8" s="459">
        <f t="shared" si="6"/>
        <v>27540.98360655738</v>
      </c>
      <c r="H8" s="244">
        <f t="shared" si="1"/>
        <v>149180.32786885247</v>
      </c>
      <c r="J8" s="431">
        <v>149180.32786885247</v>
      </c>
      <c r="K8" s="484">
        <f t="shared" si="7"/>
        <v>0</v>
      </c>
      <c r="L8" s="473">
        <v>0.26153846153846155</v>
      </c>
      <c r="M8" s="469">
        <v>0.18461538461538463</v>
      </c>
      <c r="N8" s="469">
        <v>0.18461538461538463</v>
      </c>
      <c r="O8" s="469">
        <v>0.18461538461538463</v>
      </c>
      <c r="P8" s="474">
        <v>0.18461538461538463</v>
      </c>
      <c r="Q8" s="481">
        <v>1</v>
      </c>
    </row>
    <row r="9" spans="1:17" ht="15.6" x14ac:dyDescent="0.3">
      <c r="A9" s="68">
        <v>22</v>
      </c>
      <c r="B9" s="71" t="s">
        <v>31</v>
      </c>
      <c r="C9" s="69">
        <f t="shared" si="2"/>
        <v>41431.979823455244</v>
      </c>
      <c r="D9" s="70">
        <f t="shared" si="3"/>
        <v>29246.103404791935</v>
      </c>
      <c r="E9" s="70">
        <f t="shared" si="4"/>
        <v>29246.103404791935</v>
      </c>
      <c r="F9" s="70">
        <f t="shared" si="5"/>
        <v>29246.103404791935</v>
      </c>
      <c r="G9" s="459">
        <f t="shared" si="6"/>
        <v>29246.103404791935</v>
      </c>
      <c r="H9" s="244">
        <f t="shared" si="1"/>
        <v>158416.393442623</v>
      </c>
      <c r="J9" s="431">
        <v>158416.39344262297</v>
      </c>
      <c r="K9" s="484">
        <f t="shared" si="7"/>
        <v>0</v>
      </c>
      <c r="L9" s="473">
        <v>0.26153846153846155</v>
      </c>
      <c r="M9" s="469">
        <v>0.18461538461538463</v>
      </c>
      <c r="N9" s="469">
        <v>0.18461538461538463</v>
      </c>
      <c r="O9" s="469">
        <v>0.18461538461538463</v>
      </c>
      <c r="P9" s="474">
        <v>0.18461538461538463</v>
      </c>
      <c r="Q9" s="481">
        <v>1</v>
      </c>
    </row>
    <row r="10" spans="1:17" ht="15.6" x14ac:dyDescent="0.3">
      <c r="A10" s="68">
        <v>22</v>
      </c>
      <c r="B10" s="71" t="s">
        <v>32</v>
      </c>
      <c r="C10" s="69">
        <f t="shared" si="2"/>
        <v>25283.480453972261</v>
      </c>
      <c r="D10" s="70">
        <f t="shared" si="3"/>
        <v>17847.162673392184</v>
      </c>
      <c r="E10" s="70">
        <f t="shared" si="4"/>
        <v>17847.162673392184</v>
      </c>
      <c r="F10" s="70">
        <f t="shared" si="5"/>
        <v>17847.162673392184</v>
      </c>
      <c r="G10" s="459">
        <f t="shared" si="6"/>
        <v>17847.162673392184</v>
      </c>
      <c r="H10" s="244">
        <f t="shared" si="1"/>
        <v>96672.131147541004</v>
      </c>
      <c r="J10" s="431">
        <v>96672.131147540989</v>
      </c>
      <c r="K10" s="484">
        <f t="shared" si="7"/>
        <v>0</v>
      </c>
      <c r="L10" s="473">
        <v>0.26153846153846155</v>
      </c>
      <c r="M10" s="469">
        <v>0.18461538461538463</v>
      </c>
      <c r="N10" s="469">
        <v>0.18461538461538463</v>
      </c>
      <c r="O10" s="469">
        <v>0.18461538461538463</v>
      </c>
      <c r="P10" s="474">
        <v>0.18461538461538463</v>
      </c>
      <c r="Q10" s="481">
        <v>1</v>
      </c>
    </row>
    <row r="11" spans="1:17" ht="16.2" thickBot="1" x14ac:dyDescent="0.35">
      <c r="A11" s="68">
        <v>22</v>
      </c>
      <c r="B11" s="71" t="s">
        <v>33</v>
      </c>
      <c r="C11" s="69">
        <f t="shared" si="2"/>
        <v>5389.8360655737715</v>
      </c>
      <c r="D11" s="70">
        <f t="shared" si="3"/>
        <v>3804.5901639344265</v>
      </c>
      <c r="E11" s="70">
        <f t="shared" si="4"/>
        <v>3804.5901639344265</v>
      </c>
      <c r="F11" s="70">
        <f t="shared" si="5"/>
        <v>3804.5901639344265</v>
      </c>
      <c r="G11" s="459">
        <f t="shared" si="6"/>
        <v>3804.5901639344265</v>
      </c>
      <c r="H11" s="244">
        <f t="shared" si="1"/>
        <v>20608.196721311477</v>
      </c>
      <c r="J11" s="431">
        <v>20608.196721311477</v>
      </c>
      <c r="K11" s="485">
        <f t="shared" si="7"/>
        <v>0</v>
      </c>
      <c r="L11" s="475">
        <v>0.26153846153846155</v>
      </c>
      <c r="M11" s="476">
        <v>0.18461538461538463</v>
      </c>
      <c r="N11" s="476">
        <v>0.18461538461538463</v>
      </c>
      <c r="O11" s="476">
        <v>0.18461538461538463</v>
      </c>
      <c r="P11" s="477">
        <v>0.18461538461538463</v>
      </c>
      <c r="Q11" s="482">
        <v>1</v>
      </c>
    </row>
    <row r="12" spans="1:17" ht="15.6" x14ac:dyDescent="0.3">
      <c r="A12" s="68">
        <v>0</v>
      </c>
      <c r="B12" s="71" t="s">
        <v>137</v>
      </c>
      <c r="C12" s="76">
        <v>900000</v>
      </c>
      <c r="D12" s="70">
        <v>0</v>
      </c>
      <c r="E12" s="70">
        <v>0</v>
      </c>
      <c r="F12" s="70">
        <v>0</v>
      </c>
      <c r="G12" s="450">
        <v>0</v>
      </c>
      <c r="H12" s="244">
        <f>SUM(C12:G12)</f>
        <v>900000</v>
      </c>
      <c r="J12" s="431">
        <v>0</v>
      </c>
      <c r="N12" s="331"/>
    </row>
    <row r="13" spans="1:17" ht="15.6" x14ac:dyDescent="0.3">
      <c r="A13" s="68">
        <v>22</v>
      </c>
      <c r="B13" s="71" t="s">
        <v>78</v>
      </c>
      <c r="C13" s="550">
        <v>422667.96851086494</v>
      </c>
      <c r="D13" s="552">
        <v>422667.96851086494</v>
      </c>
      <c r="E13" s="552">
        <v>422667.96851086494</v>
      </c>
      <c r="F13" s="552">
        <v>422667.96851086494</v>
      </c>
      <c r="G13" s="551">
        <v>422667.96851086494</v>
      </c>
      <c r="H13" s="244">
        <f t="shared" si="1"/>
        <v>2113339.8425543248</v>
      </c>
      <c r="J13" s="431">
        <v>293339.84255432477</v>
      </c>
    </row>
    <row r="14" spans="1:17" ht="15.6" x14ac:dyDescent="0.3">
      <c r="A14" s="68"/>
      <c r="B14" s="71"/>
      <c r="C14" s="69"/>
      <c r="D14" s="70"/>
      <c r="E14" s="70"/>
      <c r="F14" s="70"/>
      <c r="G14" s="459"/>
      <c r="H14" s="244"/>
      <c r="J14" s="431">
        <v>1695000</v>
      </c>
    </row>
    <row r="15" spans="1:17" ht="16.2" thickBot="1" x14ac:dyDescent="0.35">
      <c r="A15" s="68"/>
      <c r="B15" s="71"/>
      <c r="C15" s="441"/>
      <c r="D15" s="442"/>
      <c r="E15" s="442"/>
      <c r="F15" s="442"/>
      <c r="G15" s="460"/>
      <c r="H15" s="466"/>
      <c r="J15" s="468">
        <v>125000</v>
      </c>
    </row>
    <row r="16" spans="1:17" ht="16.2" hidden="1" thickBot="1" x14ac:dyDescent="0.35">
      <c r="A16" s="68">
        <v>0</v>
      </c>
      <c r="B16" s="72" t="s">
        <v>3</v>
      </c>
      <c r="C16" s="436">
        <v>0</v>
      </c>
      <c r="D16" s="437">
        <f>C16</f>
        <v>0</v>
      </c>
      <c r="E16" s="437">
        <f>D16</f>
        <v>0</v>
      </c>
      <c r="F16" s="437">
        <f>E16</f>
        <v>0</v>
      </c>
      <c r="G16" s="438">
        <f t="shared" ref="G16:G21" si="8">F16</f>
        <v>0</v>
      </c>
      <c r="H16" s="245">
        <f t="shared" si="1"/>
        <v>0</v>
      </c>
      <c r="J16" s="444">
        <v>0</v>
      </c>
    </row>
    <row r="17" spans="1:21" ht="16.2" hidden="1" thickBot="1" x14ac:dyDescent="0.35">
      <c r="A17" s="68">
        <v>0</v>
      </c>
      <c r="B17" s="72" t="s">
        <v>3</v>
      </c>
      <c r="C17" s="73">
        <v>0</v>
      </c>
      <c r="D17" s="74">
        <f t="shared" ref="D17:F21" si="9">C17</f>
        <v>0</v>
      </c>
      <c r="E17" s="74">
        <f t="shared" si="9"/>
        <v>0</v>
      </c>
      <c r="F17" s="74">
        <f t="shared" si="9"/>
        <v>0</v>
      </c>
      <c r="G17" s="236">
        <f t="shared" si="8"/>
        <v>0</v>
      </c>
      <c r="H17" s="244">
        <f t="shared" si="1"/>
        <v>0</v>
      </c>
      <c r="J17" s="431">
        <v>0</v>
      </c>
    </row>
    <row r="18" spans="1:21" ht="16.2" hidden="1" thickBot="1" x14ac:dyDescent="0.35">
      <c r="A18" s="68">
        <v>0</v>
      </c>
      <c r="B18" s="72" t="s">
        <v>3</v>
      </c>
      <c r="C18" s="73">
        <v>0</v>
      </c>
      <c r="D18" s="74">
        <f t="shared" si="9"/>
        <v>0</v>
      </c>
      <c r="E18" s="74">
        <f t="shared" si="9"/>
        <v>0</v>
      </c>
      <c r="F18" s="74">
        <f t="shared" si="9"/>
        <v>0</v>
      </c>
      <c r="G18" s="236">
        <f t="shared" si="8"/>
        <v>0</v>
      </c>
      <c r="H18" s="244">
        <f t="shared" si="1"/>
        <v>0</v>
      </c>
      <c r="J18" s="431">
        <v>0</v>
      </c>
    </row>
    <row r="19" spans="1:21" ht="16.2" hidden="1" thickBot="1" x14ac:dyDescent="0.35">
      <c r="A19" s="68">
        <v>0</v>
      </c>
      <c r="B19" s="72" t="s">
        <v>3</v>
      </c>
      <c r="C19" s="73">
        <v>0</v>
      </c>
      <c r="D19" s="74">
        <f t="shared" si="9"/>
        <v>0</v>
      </c>
      <c r="E19" s="74">
        <f t="shared" si="9"/>
        <v>0</v>
      </c>
      <c r="F19" s="74">
        <f t="shared" si="9"/>
        <v>0</v>
      </c>
      <c r="G19" s="236">
        <f t="shared" si="8"/>
        <v>0</v>
      </c>
      <c r="H19" s="244">
        <f t="shared" si="1"/>
        <v>0</v>
      </c>
      <c r="J19" s="431">
        <v>0</v>
      </c>
    </row>
    <row r="20" spans="1:21" ht="16.2" hidden="1" thickBot="1" x14ac:dyDescent="0.35">
      <c r="A20" s="68">
        <v>0</v>
      </c>
      <c r="B20" s="72" t="s">
        <v>3</v>
      </c>
      <c r="C20" s="73">
        <v>0</v>
      </c>
      <c r="D20" s="74">
        <f t="shared" si="9"/>
        <v>0</v>
      </c>
      <c r="E20" s="74">
        <f t="shared" si="9"/>
        <v>0</v>
      </c>
      <c r="F20" s="74">
        <f t="shared" si="9"/>
        <v>0</v>
      </c>
      <c r="G20" s="236">
        <f t="shared" si="8"/>
        <v>0</v>
      </c>
      <c r="H20" s="244">
        <f t="shared" si="1"/>
        <v>0</v>
      </c>
      <c r="J20" s="431">
        <v>0</v>
      </c>
    </row>
    <row r="21" spans="1:21" ht="16.2" hidden="1" thickBot="1" x14ac:dyDescent="0.35">
      <c r="A21" s="226">
        <v>0</v>
      </c>
      <c r="B21" s="227" t="s">
        <v>3</v>
      </c>
      <c r="C21" s="228">
        <v>0</v>
      </c>
      <c r="D21" s="229">
        <f t="shared" si="9"/>
        <v>0</v>
      </c>
      <c r="E21" s="229">
        <f t="shared" si="9"/>
        <v>0</v>
      </c>
      <c r="F21" s="229">
        <f t="shared" si="9"/>
        <v>0</v>
      </c>
      <c r="G21" s="237">
        <f t="shared" si="8"/>
        <v>0</v>
      </c>
      <c r="H21" s="246">
        <f t="shared" si="1"/>
        <v>0</v>
      </c>
      <c r="J21" s="431">
        <v>0</v>
      </c>
    </row>
    <row r="22" spans="1:21" ht="16.2" thickBot="1" x14ac:dyDescent="0.35">
      <c r="A22" s="230"/>
      <c r="B22" s="231" t="s">
        <v>34</v>
      </c>
      <c r="C22" s="232">
        <f>SUM(C5:C21)</f>
        <v>2011742.2812473089</v>
      </c>
      <c r="D22" s="222">
        <f>SUM(D5:D21)</f>
        <v>909073.36573659</v>
      </c>
      <c r="E22" s="222">
        <f>SUM(E5:E21)</f>
        <v>909073.36573659</v>
      </c>
      <c r="F22" s="222">
        <f>SUM(F5:F21)</f>
        <v>909073.36573659</v>
      </c>
      <c r="G22" s="238">
        <f>SUM(G5:G21)</f>
        <v>909073.36573659</v>
      </c>
      <c r="H22" s="259">
        <f t="shared" si="1"/>
        <v>5648035.7441936685</v>
      </c>
      <c r="I22" s="328"/>
      <c r="J22" s="443">
        <v>5403035.7441936694</v>
      </c>
      <c r="K22" s="328"/>
    </row>
    <row r="23" spans="1:21" ht="16.2" thickBot="1" x14ac:dyDescent="0.35">
      <c r="A23" s="223"/>
      <c r="B23" s="224" t="s">
        <v>35</v>
      </c>
      <c r="C23" s="225">
        <v>0</v>
      </c>
      <c r="D23" s="225">
        <v>0</v>
      </c>
      <c r="E23" s="225">
        <v>0</v>
      </c>
      <c r="F23" s="225">
        <v>0</v>
      </c>
      <c r="G23" s="239">
        <v>0</v>
      </c>
      <c r="H23" s="260">
        <f>SUM(C23:G23)</f>
        <v>0</v>
      </c>
    </row>
    <row r="24" spans="1:21" ht="16.2" thickBot="1" x14ac:dyDescent="0.35">
      <c r="A24" s="204"/>
      <c r="B24" s="335"/>
      <c r="C24" s="334"/>
      <c r="D24" s="334"/>
      <c r="E24" s="334"/>
      <c r="F24" s="334"/>
      <c r="G24" s="334"/>
      <c r="H24" s="334"/>
    </row>
    <row r="25" spans="1:21" ht="15.6" x14ac:dyDescent="0.3">
      <c r="A25" s="204"/>
      <c r="B25" s="338" t="s">
        <v>143</v>
      </c>
      <c r="C25" s="339">
        <f>H33*49%</f>
        <v>2113339.8425543248</v>
      </c>
      <c r="D25" s="537" t="s">
        <v>152</v>
      </c>
      <c r="E25" s="538"/>
      <c r="F25" s="328"/>
      <c r="G25" s="334"/>
      <c r="H25" s="334"/>
    </row>
    <row r="26" spans="1:21" ht="15.6" x14ac:dyDescent="0.3">
      <c r="A26" s="204"/>
      <c r="B26" s="340" t="s">
        <v>144</v>
      </c>
      <c r="C26" s="341">
        <f>H13</f>
        <v>2113339.8425543248</v>
      </c>
      <c r="D26" s="334"/>
      <c r="E26" s="334"/>
      <c r="G26" s="334"/>
      <c r="H26" s="334"/>
    </row>
    <row r="27" spans="1:21" ht="16.2" thickBot="1" x14ac:dyDescent="0.35">
      <c r="A27" s="204"/>
      <c r="B27" s="342" t="s">
        <v>78</v>
      </c>
      <c r="C27" s="343">
        <f>C13</f>
        <v>422667.96851086494</v>
      </c>
      <c r="D27" s="553" t="s">
        <v>188</v>
      </c>
      <c r="E27" s="334"/>
      <c r="F27" s="334"/>
      <c r="G27" s="334"/>
      <c r="H27" s="334"/>
    </row>
    <row r="28" spans="1:21" ht="15.6" x14ac:dyDescent="0.3">
      <c r="A28" s="204"/>
      <c r="B28" s="335"/>
      <c r="C28" s="334"/>
      <c r="D28" s="334"/>
      <c r="E28" s="334"/>
      <c r="F28" s="334"/>
      <c r="G28" s="334"/>
      <c r="H28" s="334"/>
    </row>
    <row r="29" spans="1:21" ht="16.2" thickBot="1" x14ac:dyDescent="0.35">
      <c r="A29" s="88"/>
      <c r="B29" s="336"/>
      <c r="C29" s="337"/>
      <c r="D29" s="337"/>
      <c r="E29" s="337"/>
      <c r="F29" s="337"/>
      <c r="G29" s="337"/>
      <c r="H29" s="57"/>
    </row>
    <row r="30" spans="1:21" ht="15.6" customHeight="1" thickBot="1" x14ac:dyDescent="0.35">
      <c r="A30" s="525" t="s">
        <v>59</v>
      </c>
      <c r="B30" s="528" t="s">
        <v>155</v>
      </c>
      <c r="C30" s="531" t="s">
        <v>153</v>
      </c>
      <c r="D30" s="532"/>
      <c r="E30" s="532"/>
      <c r="F30" s="532"/>
      <c r="G30" s="532"/>
      <c r="H30" s="533"/>
      <c r="L30" s="330" t="s">
        <v>173</v>
      </c>
    </row>
    <row r="31" spans="1:21" ht="16.2" customHeight="1" thickBot="1" x14ac:dyDescent="0.35">
      <c r="A31" s="526"/>
      <c r="B31" s="529"/>
      <c r="C31" s="534"/>
      <c r="D31" s="535"/>
      <c r="E31" s="535"/>
      <c r="F31" s="535"/>
      <c r="G31" s="535"/>
      <c r="H31" s="536"/>
      <c r="L31" s="489">
        <v>17</v>
      </c>
      <c r="M31" s="490">
        <v>12</v>
      </c>
      <c r="N31" s="490">
        <v>12</v>
      </c>
      <c r="O31" s="490">
        <v>12</v>
      </c>
      <c r="P31" s="491">
        <v>12</v>
      </c>
      <c r="Q31" s="488">
        <f>SUM(L31:P31)</f>
        <v>65</v>
      </c>
    </row>
    <row r="32" spans="1:21" ht="16.2" thickBot="1" x14ac:dyDescent="0.35">
      <c r="A32" s="527"/>
      <c r="B32" s="530"/>
      <c r="C32" s="256" t="str">
        <f>C3</f>
        <v>2023-2024</v>
      </c>
      <c r="D32" s="257">
        <f>D3</f>
        <v>2025</v>
      </c>
      <c r="E32" s="257">
        <f>E3</f>
        <v>2026</v>
      </c>
      <c r="F32" s="257">
        <f>F3</f>
        <v>2027</v>
      </c>
      <c r="G32" s="258">
        <f>G3</f>
        <v>2028</v>
      </c>
      <c r="H32" s="220" t="s">
        <v>106</v>
      </c>
      <c r="K32" s="499" t="s">
        <v>181</v>
      </c>
      <c r="L32" s="492" t="s">
        <v>168</v>
      </c>
      <c r="M32" s="493" t="s">
        <v>169</v>
      </c>
      <c r="N32" s="493" t="s">
        <v>170</v>
      </c>
      <c r="O32" s="493" t="s">
        <v>171</v>
      </c>
      <c r="P32" s="494" t="s">
        <v>172</v>
      </c>
      <c r="Q32" s="486"/>
      <c r="R32" s="371"/>
      <c r="S32" s="371"/>
      <c r="T32" s="371"/>
      <c r="U32" s="371"/>
    </row>
    <row r="33" spans="1:17" ht="16.8" thickBot="1" x14ac:dyDescent="0.4">
      <c r="A33" s="217" t="s">
        <v>26</v>
      </c>
      <c r="B33" s="218" t="s">
        <v>105</v>
      </c>
      <c r="C33" s="221">
        <f t="shared" ref="C33:H33" si="10">C34+C45+C54</f>
        <v>1214554.8289364036</v>
      </c>
      <c r="D33" s="222">
        <f t="shared" si="10"/>
        <v>828406.3498374616</v>
      </c>
      <c r="E33" s="222">
        <f t="shared" si="10"/>
        <v>828982.5998374616</v>
      </c>
      <c r="F33" s="222">
        <f t="shared" si="10"/>
        <v>720479.03108746163</v>
      </c>
      <c r="G33" s="242">
        <f t="shared" si="10"/>
        <v>720515.64449371165</v>
      </c>
      <c r="H33" s="259">
        <f t="shared" si="10"/>
        <v>4312938.4541924996</v>
      </c>
      <c r="J33" s="443">
        <v>4312938.4541924996</v>
      </c>
      <c r="K33" s="495">
        <f t="shared" ref="K33:K67" si="11">H33-J33</f>
        <v>0</v>
      </c>
      <c r="L33" s="470">
        <f>L31/$Q$31</f>
        <v>0.26153846153846155</v>
      </c>
      <c r="M33" s="471">
        <f t="shared" ref="M33:P33" si="12">M31/$Q$31</f>
        <v>0.18461538461538463</v>
      </c>
      <c r="N33" s="471">
        <f t="shared" si="12"/>
        <v>0.18461538461538463</v>
      </c>
      <c r="O33" s="471">
        <f t="shared" si="12"/>
        <v>0.18461538461538463</v>
      </c>
      <c r="P33" s="472">
        <f t="shared" si="12"/>
        <v>0.18461538461538463</v>
      </c>
      <c r="Q33" s="480">
        <f>SUM(L33:P33)</f>
        <v>1</v>
      </c>
    </row>
    <row r="34" spans="1:17" ht="16.8" thickBot="1" x14ac:dyDescent="0.4">
      <c r="A34" s="217"/>
      <c r="B34" s="218" t="s">
        <v>36</v>
      </c>
      <c r="C34" s="452">
        <f>SUM(C35:C44)</f>
        <v>158327.02061538459</v>
      </c>
      <c r="D34" s="453">
        <f>SUM(D35:D44)</f>
        <v>111760.24984615386</v>
      </c>
      <c r="E34" s="453">
        <f>SUM(E35:E44)</f>
        <v>111760.24984615386</v>
      </c>
      <c r="F34" s="453">
        <f>SUM(F35:F44)</f>
        <v>111760.24984615386</v>
      </c>
      <c r="G34" s="454">
        <f>SUM(G35:G44)</f>
        <v>111760.24984615386</v>
      </c>
      <c r="H34" s="259">
        <f>SUM(C34:G34)</f>
        <v>605368.02000000014</v>
      </c>
      <c r="J34" s="443">
        <v>605368.02</v>
      </c>
      <c r="K34" s="496">
        <f t="shared" si="11"/>
        <v>0</v>
      </c>
      <c r="L34" s="473">
        <v>0.26153846153846155</v>
      </c>
      <c r="M34" s="469">
        <v>0.18461538461538463</v>
      </c>
      <c r="N34" s="469">
        <v>0.18461538461538463</v>
      </c>
      <c r="O34" s="469">
        <v>0.18461538461538463</v>
      </c>
      <c r="P34" s="474">
        <v>0.18461538461538463</v>
      </c>
      <c r="Q34" s="481">
        <v>1</v>
      </c>
    </row>
    <row r="35" spans="1:17" ht="15.6" x14ac:dyDescent="0.3">
      <c r="A35" s="248">
        <v>22</v>
      </c>
      <c r="B35" s="447" t="s">
        <v>37</v>
      </c>
      <c r="C35" s="439">
        <f>$J$35*L33</f>
        <v>70408.931384615382</v>
      </c>
      <c r="D35" s="440">
        <f t="shared" ref="D35:G35" si="13">$J$35*M33</f>
        <v>49700.422153846157</v>
      </c>
      <c r="E35" s="440">
        <f t="shared" si="13"/>
        <v>49700.422153846157</v>
      </c>
      <c r="F35" s="440">
        <f t="shared" si="13"/>
        <v>49700.422153846157</v>
      </c>
      <c r="G35" s="458">
        <f t="shared" si="13"/>
        <v>49700.422153846157</v>
      </c>
      <c r="H35" s="449">
        <f>SUM(C35:G35)</f>
        <v>269210.62</v>
      </c>
      <c r="J35" s="444">
        <v>269210.62</v>
      </c>
      <c r="K35" s="496">
        <f>H35-J35</f>
        <v>0</v>
      </c>
      <c r="L35" s="473">
        <v>0.26153846153846155</v>
      </c>
      <c r="M35" s="469">
        <v>0.18461538461538463</v>
      </c>
      <c r="N35" s="469">
        <v>0.18461538461538463</v>
      </c>
      <c r="O35" s="469">
        <v>0.18461538461538463</v>
      </c>
      <c r="P35" s="474">
        <v>0.18461538461538463</v>
      </c>
      <c r="Q35" s="481">
        <v>1</v>
      </c>
    </row>
    <row r="36" spans="1:17" ht="15.6" x14ac:dyDescent="0.3">
      <c r="A36" s="75">
        <v>22</v>
      </c>
      <c r="B36" s="71" t="s">
        <v>38</v>
      </c>
      <c r="C36" s="69">
        <f>$J$36*L33</f>
        <v>1611.0769230769231</v>
      </c>
      <c r="D36" s="70">
        <f t="shared" ref="D36:H36" si="14">$J$36*M33</f>
        <v>1137.2307692307693</v>
      </c>
      <c r="E36" s="70">
        <f t="shared" si="14"/>
        <v>1137.2307692307693</v>
      </c>
      <c r="F36" s="70">
        <f t="shared" si="14"/>
        <v>1137.2307692307693</v>
      </c>
      <c r="G36" s="459">
        <f t="shared" si="14"/>
        <v>1137.2307692307693</v>
      </c>
      <c r="H36" s="450">
        <f t="shared" si="14"/>
        <v>6160</v>
      </c>
      <c r="J36" s="431">
        <v>6160</v>
      </c>
      <c r="K36" s="496">
        <f t="shared" si="11"/>
        <v>0</v>
      </c>
      <c r="L36" s="473">
        <v>0.26153846153846155</v>
      </c>
      <c r="M36" s="469">
        <v>0.18461538461538463</v>
      </c>
      <c r="N36" s="469">
        <v>0.18461538461538463</v>
      </c>
      <c r="O36" s="469">
        <v>0.18461538461538463</v>
      </c>
      <c r="P36" s="474">
        <v>0.18461538461538463</v>
      </c>
      <c r="Q36" s="481">
        <v>1</v>
      </c>
    </row>
    <row r="37" spans="1:17" ht="15.6" x14ac:dyDescent="0.3">
      <c r="A37" s="75">
        <v>22</v>
      </c>
      <c r="B37" s="71" t="s">
        <v>39</v>
      </c>
      <c r="C37" s="69">
        <f>$J37*L33</f>
        <v>3112.3076923076924</v>
      </c>
      <c r="D37" s="70">
        <f t="shared" ref="D37:G44" si="15">$J37*M33</f>
        <v>2196.9230769230771</v>
      </c>
      <c r="E37" s="70">
        <f t="shared" si="15"/>
        <v>2196.9230769230771</v>
      </c>
      <c r="F37" s="70">
        <f t="shared" si="15"/>
        <v>2196.9230769230771</v>
      </c>
      <c r="G37" s="459">
        <f t="shared" si="15"/>
        <v>2196.9230769230771</v>
      </c>
      <c r="H37" s="451">
        <f>SUM(C37:G37)</f>
        <v>11900</v>
      </c>
      <c r="J37" s="431">
        <v>11900</v>
      </c>
      <c r="K37" s="496">
        <f t="shared" si="11"/>
        <v>0</v>
      </c>
      <c r="L37" s="473">
        <v>0.26153846153846155</v>
      </c>
      <c r="M37" s="469">
        <v>0.18461538461538463</v>
      </c>
      <c r="N37" s="469">
        <v>0.18461538461538463</v>
      </c>
      <c r="O37" s="469">
        <v>0.18461538461538463</v>
      </c>
      <c r="P37" s="474">
        <v>0.18461538461538463</v>
      </c>
      <c r="Q37" s="481">
        <v>1</v>
      </c>
    </row>
    <row r="38" spans="1:17" ht="15.6" x14ac:dyDescent="0.3">
      <c r="A38" s="75">
        <v>22</v>
      </c>
      <c r="B38" s="71" t="s">
        <v>40</v>
      </c>
      <c r="C38" s="69">
        <f t="shared" ref="C38:C44" si="16">$J38*L34</f>
        <v>64096.12</v>
      </c>
      <c r="D38" s="70">
        <f t="shared" si="15"/>
        <v>45244.32</v>
      </c>
      <c r="E38" s="70">
        <f t="shared" si="15"/>
        <v>45244.32</v>
      </c>
      <c r="F38" s="70">
        <f t="shared" si="15"/>
        <v>45244.32</v>
      </c>
      <c r="G38" s="459">
        <f t="shared" si="15"/>
        <v>45244.32</v>
      </c>
      <c r="H38" s="451">
        <f t="shared" ref="H38" si="17">SUM(C38:G38)</f>
        <v>245073.40000000002</v>
      </c>
      <c r="J38" s="431">
        <v>245073.4</v>
      </c>
      <c r="K38" s="496">
        <f t="shared" si="11"/>
        <v>0</v>
      </c>
      <c r="L38" s="473">
        <v>0.26153846153846155</v>
      </c>
      <c r="M38" s="469">
        <v>0.18461538461538463</v>
      </c>
      <c r="N38" s="469">
        <v>0.18461538461538463</v>
      </c>
      <c r="O38" s="469">
        <v>0.18461538461538463</v>
      </c>
      <c r="P38" s="474">
        <v>0.18461538461538463</v>
      </c>
      <c r="Q38" s="481">
        <v>1</v>
      </c>
    </row>
    <row r="39" spans="1:17" ht="15.6" x14ac:dyDescent="0.3">
      <c r="A39" s="75">
        <v>22</v>
      </c>
      <c r="B39" s="71" t="s">
        <v>41</v>
      </c>
      <c r="C39" s="69">
        <f t="shared" si="16"/>
        <v>2848.1538461538462</v>
      </c>
      <c r="D39" s="70">
        <f t="shared" si="15"/>
        <v>2010.4615384615386</v>
      </c>
      <c r="E39" s="70">
        <f t="shared" si="15"/>
        <v>2010.4615384615386</v>
      </c>
      <c r="F39" s="70">
        <f t="shared" si="15"/>
        <v>2010.4615384615386</v>
      </c>
      <c r="G39" s="459">
        <f t="shared" si="15"/>
        <v>2010.4615384615386</v>
      </c>
      <c r="H39" s="450">
        <f t="shared" ref="H39:H44" si="18">$J39*Q35</f>
        <v>10890</v>
      </c>
      <c r="J39" s="431">
        <v>10890</v>
      </c>
      <c r="K39" s="496">
        <f t="shared" si="11"/>
        <v>0</v>
      </c>
      <c r="L39" s="473">
        <v>0.26153846153846155</v>
      </c>
      <c r="M39" s="469">
        <v>0.18461538461538463</v>
      </c>
      <c r="N39" s="469">
        <v>0.18461538461538463</v>
      </c>
      <c r="O39" s="469">
        <v>0.18461538461538463</v>
      </c>
      <c r="P39" s="474">
        <v>0.18461538461538463</v>
      </c>
      <c r="Q39" s="481">
        <v>1</v>
      </c>
    </row>
    <row r="40" spans="1:17" ht="15.6" x14ac:dyDescent="0.3">
      <c r="A40" s="75">
        <v>22</v>
      </c>
      <c r="B40" s="71" t="s">
        <v>42</v>
      </c>
      <c r="C40" s="69">
        <f t="shared" si="16"/>
        <v>836.92307692307702</v>
      </c>
      <c r="D40" s="70">
        <f t="shared" si="15"/>
        <v>590.76923076923083</v>
      </c>
      <c r="E40" s="70">
        <f t="shared" si="15"/>
        <v>590.76923076923083</v>
      </c>
      <c r="F40" s="70">
        <f t="shared" si="15"/>
        <v>590.76923076923083</v>
      </c>
      <c r="G40" s="459">
        <f t="shared" si="15"/>
        <v>590.76923076923083</v>
      </c>
      <c r="H40" s="450">
        <f t="shared" si="18"/>
        <v>3200</v>
      </c>
      <c r="J40" s="431">
        <v>3200</v>
      </c>
      <c r="K40" s="496">
        <f t="shared" si="11"/>
        <v>0</v>
      </c>
      <c r="L40" s="473">
        <v>0.26153846153846155</v>
      </c>
      <c r="M40" s="469">
        <v>0.18461538461538463</v>
      </c>
      <c r="N40" s="469">
        <v>0.18461538461538463</v>
      </c>
      <c r="O40" s="469">
        <v>0.18461538461538463</v>
      </c>
      <c r="P40" s="474">
        <v>0.18461538461538463</v>
      </c>
      <c r="Q40" s="481">
        <v>1</v>
      </c>
    </row>
    <row r="41" spans="1:17" ht="15.6" x14ac:dyDescent="0.3">
      <c r="A41" s="75">
        <v>22</v>
      </c>
      <c r="B41" s="71" t="s">
        <v>44</v>
      </c>
      <c r="C41" s="69">
        <f t="shared" si="16"/>
        <v>761.6</v>
      </c>
      <c r="D41" s="70">
        <f t="shared" si="15"/>
        <v>537.6</v>
      </c>
      <c r="E41" s="70">
        <f t="shared" si="15"/>
        <v>537.6</v>
      </c>
      <c r="F41" s="70">
        <f t="shared" si="15"/>
        <v>537.6</v>
      </c>
      <c r="G41" s="459">
        <f t="shared" si="15"/>
        <v>537.6</v>
      </c>
      <c r="H41" s="450">
        <f t="shared" si="18"/>
        <v>2912</v>
      </c>
      <c r="J41" s="431">
        <v>2912</v>
      </c>
      <c r="K41" s="496">
        <f t="shared" si="11"/>
        <v>0</v>
      </c>
      <c r="L41" s="473">
        <v>0.26153846153846155</v>
      </c>
      <c r="M41" s="469">
        <v>0.18461538461538463</v>
      </c>
      <c r="N41" s="469">
        <v>0.18461538461538463</v>
      </c>
      <c r="O41" s="469">
        <v>0.18461538461538463</v>
      </c>
      <c r="P41" s="474">
        <v>0.18461538461538463</v>
      </c>
      <c r="Q41" s="481">
        <v>1</v>
      </c>
    </row>
    <row r="42" spans="1:17" ht="15.6" x14ac:dyDescent="0.3">
      <c r="A42" s="75">
        <v>22</v>
      </c>
      <c r="B42" s="71" t="s">
        <v>45</v>
      </c>
      <c r="C42" s="69">
        <f t="shared" si="16"/>
        <v>1778.4615384615386</v>
      </c>
      <c r="D42" s="70">
        <f t="shared" si="15"/>
        <v>1255.3846153846155</v>
      </c>
      <c r="E42" s="70">
        <f t="shared" si="15"/>
        <v>1255.3846153846155</v>
      </c>
      <c r="F42" s="70">
        <f t="shared" si="15"/>
        <v>1255.3846153846155</v>
      </c>
      <c r="G42" s="459">
        <f t="shared" si="15"/>
        <v>1255.3846153846155</v>
      </c>
      <c r="H42" s="450">
        <f t="shared" si="18"/>
        <v>6800</v>
      </c>
      <c r="J42" s="431">
        <v>6800</v>
      </c>
      <c r="K42" s="496">
        <f t="shared" si="11"/>
        <v>0</v>
      </c>
      <c r="L42" s="473">
        <v>0.26153846153846155</v>
      </c>
      <c r="M42" s="469">
        <v>0.18461538461538463</v>
      </c>
      <c r="N42" s="469">
        <v>0.18461538461538463</v>
      </c>
      <c r="O42" s="469">
        <v>0.18461538461538463</v>
      </c>
      <c r="P42" s="474">
        <v>0.18461538461538463</v>
      </c>
      <c r="Q42" s="481">
        <v>1</v>
      </c>
    </row>
    <row r="43" spans="1:17" ht="15.6" x14ac:dyDescent="0.3">
      <c r="A43" s="75">
        <v>22</v>
      </c>
      <c r="B43" s="71" t="s">
        <v>46</v>
      </c>
      <c r="C43" s="69">
        <f t="shared" si="16"/>
        <v>3403.6615384615388</v>
      </c>
      <c r="D43" s="70">
        <f t="shared" si="15"/>
        <v>2402.5846153846155</v>
      </c>
      <c r="E43" s="70">
        <f t="shared" si="15"/>
        <v>2402.5846153846155</v>
      </c>
      <c r="F43" s="70">
        <f t="shared" si="15"/>
        <v>2402.5846153846155</v>
      </c>
      <c r="G43" s="459">
        <f t="shared" si="15"/>
        <v>2402.5846153846155</v>
      </c>
      <c r="H43" s="450">
        <f t="shared" si="18"/>
        <v>13014</v>
      </c>
      <c r="J43" s="431">
        <v>13014</v>
      </c>
      <c r="K43" s="496">
        <f t="shared" si="11"/>
        <v>0</v>
      </c>
      <c r="L43" s="473">
        <v>0.26153846153846155</v>
      </c>
      <c r="M43" s="469">
        <v>0.18461538461538463</v>
      </c>
      <c r="N43" s="469">
        <v>0.18461538461538463</v>
      </c>
      <c r="O43" s="469">
        <v>0.18461538461538463</v>
      </c>
      <c r="P43" s="474">
        <v>0.18461538461538463</v>
      </c>
      <c r="Q43" s="481">
        <v>1</v>
      </c>
    </row>
    <row r="44" spans="1:17" ht="16.2" thickBot="1" x14ac:dyDescent="0.35">
      <c r="A44" s="255">
        <v>22</v>
      </c>
      <c r="B44" s="448" t="s">
        <v>47</v>
      </c>
      <c r="C44" s="441">
        <f t="shared" si="16"/>
        <v>9469.7846153846167</v>
      </c>
      <c r="D44" s="442">
        <f t="shared" si="15"/>
        <v>6684.5538461538463</v>
      </c>
      <c r="E44" s="442">
        <f t="shared" si="15"/>
        <v>6684.5538461538463</v>
      </c>
      <c r="F44" s="442">
        <f t="shared" si="15"/>
        <v>6684.5538461538463</v>
      </c>
      <c r="G44" s="460">
        <f t="shared" si="15"/>
        <v>6684.5538461538463</v>
      </c>
      <c r="H44" s="450">
        <f t="shared" si="18"/>
        <v>36208</v>
      </c>
      <c r="J44" s="445">
        <v>36208</v>
      </c>
      <c r="K44" s="496">
        <f t="shared" si="11"/>
        <v>0</v>
      </c>
      <c r="L44" s="473">
        <v>0.26153846153846155</v>
      </c>
      <c r="M44" s="469">
        <v>0.18461538461538463</v>
      </c>
      <c r="N44" s="469">
        <v>0.18461538461538463</v>
      </c>
      <c r="O44" s="469">
        <v>0.18461538461538463</v>
      </c>
      <c r="P44" s="474">
        <v>0.18461538461538463</v>
      </c>
      <c r="Q44" s="481">
        <v>1</v>
      </c>
    </row>
    <row r="45" spans="1:17" ht="16.8" thickBot="1" x14ac:dyDescent="0.4">
      <c r="A45" s="217"/>
      <c r="B45" s="218" t="s">
        <v>48</v>
      </c>
      <c r="C45" s="463">
        <f>SUM(C46:C53)</f>
        <v>851977.80832101917</v>
      </c>
      <c r="D45" s="464">
        <f>SUM(D46:D53)</f>
        <v>601396.09999130771</v>
      </c>
      <c r="E45" s="464">
        <f>SUM(E46:E53)</f>
        <v>601396.09999130771</v>
      </c>
      <c r="F45" s="464">
        <f>SUM(F46:F53)</f>
        <v>601396.09999130771</v>
      </c>
      <c r="G45" s="465">
        <f>SUM(G46:G53)</f>
        <v>601396.09999130771</v>
      </c>
      <c r="H45" s="259">
        <f>SUM(C45:G45)</f>
        <v>3257562.2082862495</v>
      </c>
      <c r="J45" s="443">
        <v>3257562.20828625</v>
      </c>
      <c r="K45" s="496">
        <f t="shared" si="11"/>
        <v>0</v>
      </c>
      <c r="L45" s="473">
        <v>0.26153846153846155</v>
      </c>
      <c r="M45" s="487">
        <v>0.18461538461538463</v>
      </c>
      <c r="N45" s="469">
        <v>0.18461538461538463</v>
      </c>
      <c r="O45" s="469">
        <v>0.18461538461538463</v>
      </c>
      <c r="P45" s="474">
        <v>0.18461538461538463</v>
      </c>
      <c r="Q45" s="481">
        <v>1</v>
      </c>
    </row>
    <row r="46" spans="1:17" ht="15.6" x14ac:dyDescent="0.3">
      <c r="A46" s="248">
        <v>22</v>
      </c>
      <c r="B46" s="447" t="s">
        <v>27</v>
      </c>
      <c r="C46" s="439">
        <f t="shared" ref="C46:C53" si="19">$J46*L42</f>
        <v>465840.45221563458</v>
      </c>
      <c r="D46" s="440">
        <f t="shared" ref="D46:D53" si="20">$J46*M42</f>
        <v>328828.55450515379</v>
      </c>
      <c r="E46" s="440">
        <f t="shared" ref="E46:E53" si="21">$J46*N42</f>
        <v>328828.55450515379</v>
      </c>
      <c r="F46" s="440">
        <f t="shared" ref="F46:F53" si="22">$J46*O42</f>
        <v>328828.55450515379</v>
      </c>
      <c r="G46" s="458">
        <f t="shared" ref="G46:G53" si="23">$J46*P42</f>
        <v>328828.55450515379</v>
      </c>
      <c r="H46" s="461">
        <f t="shared" ref="H46:H66" si="24">SUM(C46:G46)</f>
        <v>1781154.6702362497</v>
      </c>
      <c r="J46" s="444">
        <v>1781154.6702362497</v>
      </c>
      <c r="K46" s="496">
        <f t="shared" si="11"/>
        <v>0</v>
      </c>
      <c r="L46" s="473">
        <v>0.26153846153846155</v>
      </c>
      <c r="M46" s="469">
        <v>0.18461538461538463</v>
      </c>
      <c r="N46" s="469">
        <v>0.18461538461538463</v>
      </c>
      <c r="O46" s="469">
        <v>0.18461538461538463</v>
      </c>
      <c r="P46" s="474">
        <v>0.18461538461538463</v>
      </c>
      <c r="Q46" s="481">
        <v>1</v>
      </c>
    </row>
    <row r="47" spans="1:17" ht="15.6" x14ac:dyDescent="0.3">
      <c r="A47" s="75">
        <v>22</v>
      </c>
      <c r="B47" s="71" t="s">
        <v>49</v>
      </c>
      <c r="C47" s="69">
        <f t="shared" si="19"/>
        <v>86283.449934999997</v>
      </c>
      <c r="D47" s="70">
        <f t="shared" si="20"/>
        <v>60905.964659999998</v>
      </c>
      <c r="E47" s="70">
        <f t="shared" si="21"/>
        <v>60905.964659999998</v>
      </c>
      <c r="F47" s="70">
        <f t="shared" si="22"/>
        <v>60905.964659999998</v>
      </c>
      <c r="G47" s="459">
        <f t="shared" si="23"/>
        <v>60905.964659999998</v>
      </c>
      <c r="H47" s="451">
        <f t="shared" si="24"/>
        <v>329907.30857499997</v>
      </c>
      <c r="J47" s="431">
        <v>329907.30857499997</v>
      </c>
      <c r="K47" s="496">
        <f t="shared" si="11"/>
        <v>0</v>
      </c>
      <c r="L47" s="473">
        <v>0.26153846153846155</v>
      </c>
      <c r="M47" s="469">
        <v>0.18461538461538463</v>
      </c>
      <c r="N47" s="469">
        <v>0.18461538461538463</v>
      </c>
      <c r="O47" s="469">
        <v>0.18461538461538463</v>
      </c>
      <c r="P47" s="474">
        <v>0.18461538461538463</v>
      </c>
      <c r="Q47" s="481">
        <v>1</v>
      </c>
    </row>
    <row r="48" spans="1:17" ht="15.6" x14ac:dyDescent="0.3">
      <c r="A48" s="75">
        <v>22</v>
      </c>
      <c r="B48" s="71" t="s">
        <v>50</v>
      </c>
      <c r="C48" s="69">
        <f t="shared" si="19"/>
        <v>102966.04026600001</v>
      </c>
      <c r="D48" s="70">
        <f t="shared" si="20"/>
        <v>72681.910776000019</v>
      </c>
      <c r="E48" s="70">
        <f t="shared" si="21"/>
        <v>72681.910776000019</v>
      </c>
      <c r="F48" s="70">
        <f t="shared" si="22"/>
        <v>72681.910776000019</v>
      </c>
      <c r="G48" s="459">
        <f t="shared" si="23"/>
        <v>72681.910776000019</v>
      </c>
      <c r="H48" s="451">
        <f t="shared" si="24"/>
        <v>393693.68337000004</v>
      </c>
      <c r="J48" s="431">
        <v>393693.68337000004</v>
      </c>
      <c r="K48" s="496">
        <f t="shared" si="11"/>
        <v>0</v>
      </c>
      <c r="L48" s="473">
        <v>0.26153846153846155</v>
      </c>
      <c r="M48" s="469">
        <v>0.18461538461538463</v>
      </c>
      <c r="N48" s="469">
        <v>0.18461538461538463</v>
      </c>
      <c r="O48" s="469">
        <v>0.18461538461538463</v>
      </c>
      <c r="P48" s="474">
        <v>0.18461538461538463</v>
      </c>
      <c r="Q48" s="481">
        <v>1</v>
      </c>
    </row>
    <row r="49" spans="1:17" ht="15.6" x14ac:dyDescent="0.3">
      <c r="A49" s="75">
        <v>22</v>
      </c>
      <c r="B49" s="71" t="s">
        <v>29</v>
      </c>
      <c r="C49" s="69">
        <f t="shared" si="19"/>
        <v>80270.657904615393</v>
      </c>
      <c r="D49" s="70">
        <f t="shared" si="20"/>
        <v>56661.640873846161</v>
      </c>
      <c r="E49" s="70">
        <f t="shared" si="21"/>
        <v>56661.640873846161</v>
      </c>
      <c r="F49" s="70">
        <f t="shared" si="22"/>
        <v>56661.640873846161</v>
      </c>
      <c r="G49" s="459">
        <f t="shared" si="23"/>
        <v>56661.640873846161</v>
      </c>
      <c r="H49" s="451">
        <f t="shared" si="24"/>
        <v>306917.22140000004</v>
      </c>
      <c r="J49" s="431">
        <v>306917.22140000004</v>
      </c>
      <c r="K49" s="496">
        <f t="shared" si="11"/>
        <v>0</v>
      </c>
      <c r="L49" s="473">
        <v>0.26153846153846155</v>
      </c>
      <c r="M49" s="469">
        <v>0.18461538461538463</v>
      </c>
      <c r="N49" s="469">
        <v>0.18461538461538463</v>
      </c>
      <c r="O49" s="469">
        <v>0.18461538461538463</v>
      </c>
      <c r="P49" s="474">
        <v>0.18461538461538463</v>
      </c>
      <c r="Q49" s="481">
        <v>1</v>
      </c>
    </row>
    <row r="50" spans="1:17" ht="15.6" x14ac:dyDescent="0.3">
      <c r="A50" s="75">
        <v>22</v>
      </c>
      <c r="B50" s="71" t="s">
        <v>30</v>
      </c>
      <c r="C50" s="69">
        <f t="shared" si="19"/>
        <v>26672.493923076927</v>
      </c>
      <c r="D50" s="70">
        <f t="shared" si="20"/>
        <v>18827.64276923077</v>
      </c>
      <c r="E50" s="70">
        <f t="shared" si="21"/>
        <v>18827.64276923077</v>
      </c>
      <c r="F50" s="70">
        <f t="shared" si="22"/>
        <v>18827.64276923077</v>
      </c>
      <c r="G50" s="459">
        <f t="shared" si="23"/>
        <v>18827.64276923077</v>
      </c>
      <c r="H50" s="451">
        <f t="shared" si="24"/>
        <v>101983.065</v>
      </c>
      <c r="J50" s="431">
        <v>101983.065</v>
      </c>
      <c r="K50" s="496">
        <f t="shared" si="11"/>
        <v>0</v>
      </c>
      <c r="L50" s="473">
        <v>0.26153846153846155</v>
      </c>
      <c r="M50" s="469">
        <v>0.18461538461538463</v>
      </c>
      <c r="N50" s="469">
        <v>0.18461538461538463</v>
      </c>
      <c r="O50" s="469">
        <v>0.18461538461538463</v>
      </c>
      <c r="P50" s="474">
        <v>0.18461538461538463</v>
      </c>
      <c r="Q50" s="481">
        <v>1</v>
      </c>
    </row>
    <row r="51" spans="1:17" ht="15.6" x14ac:dyDescent="0.3">
      <c r="A51" s="75">
        <v>22</v>
      </c>
      <c r="B51" s="71" t="s">
        <v>31</v>
      </c>
      <c r="C51" s="69">
        <f t="shared" si="19"/>
        <v>45618.788179400006</v>
      </c>
      <c r="D51" s="70">
        <f t="shared" si="20"/>
        <v>32201.497538400006</v>
      </c>
      <c r="E51" s="70">
        <f t="shared" si="21"/>
        <v>32201.497538400006</v>
      </c>
      <c r="F51" s="70">
        <f t="shared" si="22"/>
        <v>32201.497538400006</v>
      </c>
      <c r="G51" s="459">
        <f t="shared" si="23"/>
        <v>32201.497538400006</v>
      </c>
      <c r="H51" s="451">
        <f t="shared" si="24"/>
        <v>174424.77833300002</v>
      </c>
      <c r="J51" s="431">
        <v>174424.77833300002</v>
      </c>
      <c r="K51" s="496">
        <f t="shared" si="11"/>
        <v>0</v>
      </c>
      <c r="L51" s="473">
        <v>0.26153846153846155</v>
      </c>
      <c r="M51" s="469">
        <v>0.18461538461538463</v>
      </c>
      <c r="N51" s="469">
        <v>0.18461538461538463</v>
      </c>
      <c r="O51" s="469">
        <v>0.18461538461538463</v>
      </c>
      <c r="P51" s="474">
        <v>0.18461538461538463</v>
      </c>
      <c r="Q51" s="481">
        <v>1</v>
      </c>
    </row>
    <row r="52" spans="1:17" ht="15.6" x14ac:dyDescent="0.3">
      <c r="A52" s="75">
        <v>22</v>
      </c>
      <c r="B52" s="71" t="s">
        <v>51</v>
      </c>
      <c r="C52" s="69">
        <f t="shared" si="19"/>
        <v>35479.889105230766</v>
      </c>
      <c r="D52" s="70">
        <f t="shared" si="20"/>
        <v>25044.627603692305</v>
      </c>
      <c r="E52" s="70">
        <f t="shared" si="21"/>
        <v>25044.627603692305</v>
      </c>
      <c r="F52" s="70">
        <f t="shared" si="22"/>
        <v>25044.627603692305</v>
      </c>
      <c r="G52" s="459">
        <f t="shared" si="23"/>
        <v>25044.627603692305</v>
      </c>
      <c r="H52" s="451">
        <f t="shared" si="24"/>
        <v>135658.39951999998</v>
      </c>
      <c r="J52" s="431">
        <v>135658.39951999998</v>
      </c>
      <c r="K52" s="496">
        <f t="shared" si="11"/>
        <v>0</v>
      </c>
      <c r="L52" s="473">
        <v>0.26153846153846155</v>
      </c>
      <c r="M52" s="469">
        <v>0.18461538461538463</v>
      </c>
      <c r="N52" s="469">
        <v>0.18461538461538463</v>
      </c>
      <c r="O52" s="469">
        <v>0.18461538461538463</v>
      </c>
      <c r="P52" s="474">
        <v>0.18461538461538463</v>
      </c>
      <c r="Q52" s="481">
        <v>1</v>
      </c>
    </row>
    <row r="53" spans="1:17" ht="16.2" thickBot="1" x14ac:dyDescent="0.35">
      <c r="A53" s="75">
        <v>22</v>
      </c>
      <c r="B53" s="448" t="s">
        <v>52</v>
      </c>
      <c r="C53" s="441">
        <f t="shared" si="19"/>
        <v>8846.0367920615372</v>
      </c>
      <c r="D53" s="442">
        <f t="shared" si="20"/>
        <v>6244.2612649846151</v>
      </c>
      <c r="E53" s="442">
        <f t="shared" si="21"/>
        <v>6244.2612649846151</v>
      </c>
      <c r="F53" s="442">
        <f t="shared" si="22"/>
        <v>6244.2612649846151</v>
      </c>
      <c r="G53" s="460">
        <f t="shared" si="23"/>
        <v>6244.2612649846151</v>
      </c>
      <c r="H53" s="462">
        <f t="shared" si="24"/>
        <v>33823.081851999996</v>
      </c>
      <c r="J53" s="445">
        <v>33823.081851999996</v>
      </c>
      <c r="K53" s="496">
        <f t="shared" si="11"/>
        <v>0</v>
      </c>
      <c r="L53" s="473">
        <v>0.26153846153846155</v>
      </c>
      <c r="M53" s="469">
        <v>0.18461538461538463</v>
      </c>
      <c r="N53" s="469">
        <v>0.18461538461538463</v>
      </c>
      <c r="O53" s="469">
        <v>0.18461538461538463</v>
      </c>
      <c r="P53" s="474">
        <v>0.18461538461538463</v>
      </c>
      <c r="Q53" s="481">
        <v>1</v>
      </c>
    </row>
    <row r="54" spans="1:17" ht="16.8" thickBot="1" x14ac:dyDescent="0.4">
      <c r="A54" s="217"/>
      <c r="B54" s="262" t="s">
        <v>53</v>
      </c>
      <c r="C54" s="455">
        <f>SUM(C55:C60)</f>
        <v>204250</v>
      </c>
      <c r="D54" s="456">
        <f t="shared" ref="D54:H54" si="25">SUM(D55:D60)</f>
        <v>115250</v>
      </c>
      <c r="E54" s="456">
        <f t="shared" si="25"/>
        <v>115826.24999999999</v>
      </c>
      <c r="F54" s="456">
        <f t="shared" si="25"/>
        <v>7322.6812499999978</v>
      </c>
      <c r="G54" s="457">
        <f t="shared" si="25"/>
        <v>7359.2946562499965</v>
      </c>
      <c r="H54" s="259">
        <f t="shared" si="25"/>
        <v>450008.22590625001</v>
      </c>
      <c r="J54" s="443">
        <v>450008.22590625001</v>
      </c>
      <c r="K54" s="496">
        <f t="shared" si="11"/>
        <v>0</v>
      </c>
      <c r="L54" s="473">
        <v>0.26153846153846155</v>
      </c>
      <c r="M54" s="469">
        <v>0.18461538461538463</v>
      </c>
      <c r="N54" s="469">
        <v>0.18461538461538463</v>
      </c>
      <c r="O54" s="469">
        <v>0.18461538461538463</v>
      </c>
      <c r="P54" s="474">
        <v>0.18461538461538463</v>
      </c>
      <c r="Q54" s="481">
        <v>1</v>
      </c>
    </row>
    <row r="55" spans="1:17" ht="15.6" x14ac:dyDescent="0.3">
      <c r="A55" s="75">
        <v>22</v>
      </c>
      <c r="B55" s="249" t="s">
        <v>110</v>
      </c>
      <c r="C55" s="253">
        <v>50000</v>
      </c>
      <c r="D55" s="251">
        <v>0</v>
      </c>
      <c r="E55" s="251">
        <v>0</v>
      </c>
      <c r="F55" s="251">
        <v>0</v>
      </c>
      <c r="G55" s="254">
        <v>0</v>
      </c>
      <c r="H55" s="245">
        <f>SUM(C55:G55)</f>
        <v>50000</v>
      </c>
      <c r="J55" s="444">
        <v>50000</v>
      </c>
      <c r="K55" s="496">
        <f t="shared" si="11"/>
        <v>0</v>
      </c>
      <c r="L55" s="473">
        <v>0.26153846153846155</v>
      </c>
      <c r="M55" s="469">
        <v>0.18461538461538463</v>
      </c>
      <c r="N55" s="469">
        <v>0.18461538461538463</v>
      </c>
      <c r="O55" s="469">
        <v>0.18461538461538463</v>
      </c>
      <c r="P55" s="474">
        <v>0.18461538461538463</v>
      </c>
      <c r="Q55" s="481">
        <v>1</v>
      </c>
    </row>
    <row r="56" spans="1:17" ht="15.6" x14ac:dyDescent="0.3">
      <c r="A56" s="75">
        <v>22</v>
      </c>
      <c r="B56" s="249" t="s">
        <v>111</v>
      </c>
      <c r="C56" s="253">
        <v>30000</v>
      </c>
      <c r="D56" s="251">
        <v>0</v>
      </c>
      <c r="E56" s="251">
        <v>0</v>
      </c>
      <c r="F56" s="251">
        <v>0</v>
      </c>
      <c r="G56" s="254">
        <v>0</v>
      </c>
      <c r="H56" s="245">
        <f>SUM(C56:G56)</f>
        <v>30000</v>
      </c>
      <c r="J56" s="444">
        <v>30000</v>
      </c>
      <c r="K56" s="496">
        <f t="shared" si="11"/>
        <v>0</v>
      </c>
      <c r="L56" s="473">
        <v>0.26153846153846155</v>
      </c>
      <c r="M56" s="469">
        <v>0.18461538461538463</v>
      </c>
      <c r="N56" s="469">
        <v>0.18461538461538463</v>
      </c>
      <c r="O56" s="469">
        <v>0.18461538461538463</v>
      </c>
      <c r="P56" s="474">
        <v>0.18461538461538463</v>
      </c>
      <c r="Q56" s="481">
        <v>1</v>
      </c>
    </row>
    <row r="57" spans="1:17" ht="15.6" x14ac:dyDescent="0.3">
      <c r="A57" s="75">
        <v>22</v>
      </c>
      <c r="B57" s="249" t="s">
        <v>112</v>
      </c>
      <c r="C57" s="253">
        <v>108000</v>
      </c>
      <c r="D57" s="251">
        <v>108000</v>
      </c>
      <c r="E57" s="251">
        <v>108539.99999999999</v>
      </c>
      <c r="F57" s="251">
        <v>0</v>
      </c>
      <c r="G57" s="254">
        <v>0</v>
      </c>
      <c r="H57" s="245">
        <f t="shared" ref="H57:H59" si="26">SUM(C57:G57)</f>
        <v>324540</v>
      </c>
      <c r="J57" s="444">
        <v>324540</v>
      </c>
      <c r="K57" s="496">
        <f t="shared" si="11"/>
        <v>0</v>
      </c>
      <c r="L57" s="473">
        <v>0.26153846153846155</v>
      </c>
      <c r="M57" s="469">
        <v>0.18461538461538463</v>
      </c>
      <c r="N57" s="469">
        <v>0.18461538461538463</v>
      </c>
      <c r="O57" s="469">
        <v>0.18461538461538463</v>
      </c>
      <c r="P57" s="474">
        <v>0.18461538461538463</v>
      </c>
      <c r="Q57" s="481">
        <v>1</v>
      </c>
    </row>
    <row r="58" spans="1:17" ht="15.6" x14ac:dyDescent="0.3">
      <c r="A58" s="75">
        <v>22</v>
      </c>
      <c r="B58" s="249" t="s">
        <v>113</v>
      </c>
      <c r="C58" s="253">
        <v>2000</v>
      </c>
      <c r="D58" s="251">
        <v>2000</v>
      </c>
      <c r="E58" s="251">
        <v>2009.9999999999998</v>
      </c>
      <c r="F58" s="251">
        <v>2020.0499999999995</v>
      </c>
      <c r="G58" s="254">
        <v>2030.1502499999992</v>
      </c>
      <c r="H58" s="245">
        <f t="shared" si="26"/>
        <v>10060.200249999998</v>
      </c>
      <c r="J58" s="444">
        <v>10060.200249999998</v>
      </c>
      <c r="K58" s="496">
        <f t="shared" si="11"/>
        <v>0</v>
      </c>
      <c r="L58" s="473">
        <v>0.26153846153846155</v>
      </c>
      <c r="M58" s="469">
        <v>0.18461538461538463</v>
      </c>
      <c r="N58" s="469">
        <v>0.18461538461538463</v>
      </c>
      <c r="O58" s="469">
        <v>0.18461538461538463</v>
      </c>
      <c r="P58" s="474">
        <v>0.18461538461538463</v>
      </c>
      <c r="Q58" s="481">
        <v>1</v>
      </c>
    </row>
    <row r="59" spans="1:17" ht="15.6" x14ac:dyDescent="0.3">
      <c r="A59" s="75">
        <v>22</v>
      </c>
      <c r="B59" s="249" t="s">
        <v>54</v>
      </c>
      <c r="C59" s="253">
        <v>9000</v>
      </c>
      <c r="D59" s="251">
        <v>0</v>
      </c>
      <c r="E59" s="251">
        <v>0</v>
      </c>
      <c r="F59" s="251">
        <v>0</v>
      </c>
      <c r="G59" s="254">
        <v>0</v>
      </c>
      <c r="H59" s="245">
        <f t="shared" si="26"/>
        <v>9000</v>
      </c>
      <c r="J59" s="444">
        <v>9000</v>
      </c>
      <c r="K59" s="496">
        <f t="shared" si="11"/>
        <v>0</v>
      </c>
      <c r="L59" s="473">
        <v>0.26153846153846155</v>
      </c>
      <c r="M59" s="469">
        <v>0.18461538461538463</v>
      </c>
      <c r="N59" s="469">
        <v>0.18461538461538463</v>
      </c>
      <c r="O59" s="469">
        <v>0.18461538461538463</v>
      </c>
      <c r="P59" s="474">
        <v>0.18461538461538463</v>
      </c>
      <c r="Q59" s="481">
        <v>1</v>
      </c>
    </row>
    <row r="60" spans="1:17" ht="16.2" thickBot="1" x14ac:dyDescent="0.35">
      <c r="A60" s="75">
        <v>22</v>
      </c>
      <c r="B60" s="67" t="s">
        <v>55</v>
      </c>
      <c r="C60" s="77">
        <v>5250</v>
      </c>
      <c r="D60" s="78">
        <v>5250</v>
      </c>
      <c r="E60" s="78">
        <v>5276.2499999999991</v>
      </c>
      <c r="F60" s="78">
        <v>5302.6312499999985</v>
      </c>
      <c r="G60" s="241">
        <v>5329.1444062499977</v>
      </c>
      <c r="H60" s="244">
        <f>SUM(C60:G60)</f>
        <v>26408.025656249996</v>
      </c>
      <c r="J60" s="445">
        <v>26408.025656249996</v>
      </c>
      <c r="K60" s="496">
        <f t="shared" si="11"/>
        <v>0</v>
      </c>
      <c r="L60" s="473">
        <v>0.26153846153846155</v>
      </c>
      <c r="M60" s="469">
        <v>0.18461538461538463</v>
      </c>
      <c r="N60" s="469">
        <v>0.18461538461538463</v>
      </c>
      <c r="O60" s="469">
        <v>0.18461538461538463</v>
      </c>
      <c r="P60" s="474">
        <v>0.18461538461538463</v>
      </c>
      <c r="Q60" s="481">
        <v>1</v>
      </c>
    </row>
    <row r="61" spans="1:17" ht="16.8" thickBot="1" x14ac:dyDescent="0.4">
      <c r="A61" s="217"/>
      <c r="B61" s="262" t="s">
        <v>109</v>
      </c>
      <c r="C61" s="232">
        <f>SUM(C62:C65)</f>
        <v>32553.5</v>
      </c>
      <c r="D61" s="222">
        <f>SUM(D62:D65)</f>
        <v>28977.3</v>
      </c>
      <c r="E61" s="222">
        <f>SUM(E62:E65)</f>
        <v>29121.93</v>
      </c>
      <c r="F61" s="222">
        <f>SUM(F62:F65)</f>
        <v>29273.68965</v>
      </c>
      <c r="G61" s="233">
        <f>SUM(G62:G65)</f>
        <v>23603.541881624991</v>
      </c>
      <c r="H61" s="259">
        <f>SUM(C61:G61)</f>
        <v>143529.96153162501</v>
      </c>
      <c r="J61" s="443">
        <v>143529.96153162501</v>
      </c>
      <c r="K61" s="496">
        <f t="shared" si="11"/>
        <v>0</v>
      </c>
      <c r="L61" s="473">
        <v>0.26153846153846155</v>
      </c>
      <c r="M61" s="469">
        <v>0.18461538461538463</v>
      </c>
      <c r="N61" s="469">
        <v>0.18461538461538463</v>
      </c>
      <c r="O61" s="469">
        <v>0.18461538461538463</v>
      </c>
      <c r="P61" s="474">
        <v>0.18461538461538463</v>
      </c>
      <c r="Q61" s="481">
        <v>1</v>
      </c>
    </row>
    <row r="62" spans="1:17" ht="15.6" x14ac:dyDescent="0.3">
      <c r="A62" s="248">
        <v>22</v>
      </c>
      <c r="B62" s="249" t="s">
        <v>134</v>
      </c>
      <c r="C62" s="250">
        <v>11180</v>
      </c>
      <c r="D62" s="251">
        <v>7986</v>
      </c>
      <c r="E62" s="251">
        <v>8025.9299999999994</v>
      </c>
      <c r="F62" s="251">
        <v>8066.0596499999983</v>
      </c>
      <c r="G62" s="252">
        <v>8106.3899482499974</v>
      </c>
      <c r="H62" s="245">
        <f>SUM(C62:G62)</f>
        <v>43364.379598249994</v>
      </c>
      <c r="J62" s="444">
        <v>43364.379598249994</v>
      </c>
      <c r="K62" s="496">
        <f t="shared" si="11"/>
        <v>0</v>
      </c>
      <c r="L62" s="473">
        <v>0.26153846153846155</v>
      </c>
      <c r="M62" s="469">
        <v>0.18461538461538463</v>
      </c>
      <c r="N62" s="469">
        <v>0.18461538461538463</v>
      </c>
      <c r="O62" s="469">
        <v>0.18461538461538463</v>
      </c>
      <c r="P62" s="474">
        <v>0.18461538461538463</v>
      </c>
      <c r="Q62" s="481">
        <v>1</v>
      </c>
    </row>
    <row r="63" spans="1:17" ht="15.6" x14ac:dyDescent="0.3">
      <c r="A63" s="75">
        <v>22</v>
      </c>
      <c r="B63" s="67" t="s">
        <v>133</v>
      </c>
      <c r="C63" s="69">
        <v>11827</v>
      </c>
      <c r="D63" s="70">
        <v>11886</v>
      </c>
      <c r="E63" s="70">
        <v>11945</v>
      </c>
      <c r="F63" s="70">
        <v>12000</v>
      </c>
      <c r="G63" s="235">
        <v>8575.3546559999977</v>
      </c>
      <c r="H63" s="244">
        <f>SUM(C63:G63)</f>
        <v>56233.354655999996</v>
      </c>
      <c r="J63" s="431">
        <v>56233.354655999996</v>
      </c>
      <c r="K63" s="496">
        <f t="shared" si="11"/>
        <v>0</v>
      </c>
      <c r="L63" s="473">
        <v>0.26153846153846155</v>
      </c>
      <c r="M63" s="469">
        <v>0.18461538461538463</v>
      </c>
      <c r="N63" s="469">
        <v>0.18461538461538463</v>
      </c>
      <c r="O63" s="469">
        <v>0.18461538461538463</v>
      </c>
      <c r="P63" s="474">
        <v>0.18461538461538463</v>
      </c>
      <c r="Q63" s="481">
        <v>1</v>
      </c>
    </row>
    <row r="64" spans="1:17" ht="15.6" x14ac:dyDescent="0.3">
      <c r="A64" s="75">
        <v>22</v>
      </c>
      <c r="B64" s="67" t="s">
        <v>107</v>
      </c>
      <c r="C64" s="76">
        <v>1680</v>
      </c>
      <c r="D64" s="70">
        <v>1200</v>
      </c>
      <c r="E64" s="70">
        <v>1205.9999999999998</v>
      </c>
      <c r="F64" s="70">
        <v>1212.0299999999997</v>
      </c>
      <c r="G64" s="240">
        <v>1218.0901499999995</v>
      </c>
      <c r="H64" s="244">
        <f t="shared" ref="H64:H65" si="27">SUM(C64:G64)</f>
        <v>6516.1201499999988</v>
      </c>
      <c r="J64" s="431">
        <v>6516.1201499999988</v>
      </c>
      <c r="K64" s="496">
        <f t="shared" si="11"/>
        <v>0</v>
      </c>
      <c r="L64" s="473">
        <v>0.26153846153846155</v>
      </c>
      <c r="M64" s="469">
        <v>0.18461538461538463</v>
      </c>
      <c r="N64" s="469">
        <v>0.18461538461538463</v>
      </c>
      <c r="O64" s="469">
        <v>0.18461538461538463</v>
      </c>
      <c r="P64" s="474">
        <v>0.18461538461538463</v>
      </c>
      <c r="Q64" s="481">
        <v>1</v>
      </c>
    </row>
    <row r="65" spans="1:17" ht="16.2" thickBot="1" x14ac:dyDescent="0.35">
      <c r="A65" s="255">
        <v>22</v>
      </c>
      <c r="B65" s="67" t="s">
        <v>43</v>
      </c>
      <c r="C65" s="69">
        <v>7866.5</v>
      </c>
      <c r="D65" s="70">
        <v>7905.3</v>
      </c>
      <c r="E65" s="70">
        <v>7945</v>
      </c>
      <c r="F65" s="70">
        <v>7995.6</v>
      </c>
      <c r="G65" s="235">
        <v>5703.707127374998</v>
      </c>
      <c r="H65" s="244">
        <f t="shared" si="27"/>
        <v>37416.107127374999</v>
      </c>
      <c r="J65" s="431">
        <v>37416.107127374999</v>
      </c>
      <c r="K65" s="496">
        <f t="shared" si="11"/>
        <v>0</v>
      </c>
      <c r="L65" s="473">
        <v>0.26153846153846155</v>
      </c>
      <c r="M65" s="469">
        <v>0.18461538461538463</v>
      </c>
      <c r="N65" s="469">
        <v>0.18461538461538463</v>
      </c>
      <c r="O65" s="469">
        <v>0.18461538461538463</v>
      </c>
      <c r="P65" s="474">
        <v>0.18461538461538463</v>
      </c>
      <c r="Q65" s="481">
        <v>1</v>
      </c>
    </row>
    <row r="66" spans="1:17" ht="16.2" thickBot="1" x14ac:dyDescent="0.35">
      <c r="A66" s="263"/>
      <c r="B66" s="219" t="s">
        <v>56</v>
      </c>
      <c r="C66" s="221">
        <f>C34+C45+C54+C61</f>
        <v>1247108.3289364036</v>
      </c>
      <c r="D66" s="222">
        <f>D34+D45+D54+D61</f>
        <v>857383.64983746165</v>
      </c>
      <c r="E66" s="222">
        <f>E34+E45+E54+E61</f>
        <v>858104.52983746165</v>
      </c>
      <c r="F66" s="222">
        <f>F34+F45+F54+F61</f>
        <v>749752.72073746158</v>
      </c>
      <c r="G66" s="242">
        <f>G34+G45+G54+G61</f>
        <v>744119.18637533661</v>
      </c>
      <c r="H66" s="259">
        <f t="shared" si="24"/>
        <v>4456468.4157241248</v>
      </c>
      <c r="J66" s="443">
        <v>4456468.4157241257</v>
      </c>
      <c r="K66" s="496">
        <f t="shared" si="11"/>
        <v>0</v>
      </c>
      <c r="L66" s="473">
        <v>0.26153846153846155</v>
      </c>
      <c r="M66" s="469">
        <v>0.18461538461538463</v>
      </c>
      <c r="N66" s="469">
        <v>0.18461538461538463</v>
      </c>
      <c r="O66" s="469">
        <v>0.18461538461538463</v>
      </c>
      <c r="P66" s="474">
        <v>0.18461538461538463</v>
      </c>
      <c r="Q66" s="481">
        <v>1</v>
      </c>
    </row>
    <row r="67" spans="1:17" ht="16.2" thickBot="1" x14ac:dyDescent="0.35">
      <c r="A67" s="79"/>
      <c r="B67" s="80" t="s">
        <v>57</v>
      </c>
      <c r="C67" s="81">
        <v>9.9999999999999995E-8</v>
      </c>
      <c r="D67" s="82">
        <f>C67</f>
        <v>9.9999999999999995E-8</v>
      </c>
      <c r="E67" s="82">
        <f>D67</f>
        <v>9.9999999999999995E-8</v>
      </c>
      <c r="F67" s="82">
        <f>E67</f>
        <v>9.9999999999999995E-8</v>
      </c>
      <c r="G67" s="243">
        <f>F67</f>
        <v>9.9999999999999995E-8</v>
      </c>
      <c r="H67" s="247">
        <f>SUM(C67:G67)</f>
        <v>4.9999999999999998E-7</v>
      </c>
      <c r="J67" s="446">
        <v>4.9999999999999998E-7</v>
      </c>
      <c r="K67" s="497">
        <f t="shared" si="11"/>
        <v>0</v>
      </c>
      <c r="L67" s="475">
        <v>0.26153846153846155</v>
      </c>
      <c r="M67" s="476">
        <v>0.18461538461538463</v>
      </c>
      <c r="N67" s="476">
        <v>0.18461538461538463</v>
      </c>
      <c r="O67" s="476">
        <v>0.18461538461538463</v>
      </c>
      <c r="P67" s="477">
        <v>0.18461538461538463</v>
      </c>
      <c r="Q67" s="482">
        <v>1</v>
      </c>
    </row>
    <row r="70" spans="1:17" x14ac:dyDescent="0.3">
      <c r="D70" s="328"/>
    </row>
    <row r="71" spans="1:17" x14ac:dyDescent="0.3">
      <c r="D71" s="328"/>
      <c r="E71" s="328"/>
    </row>
    <row r="73" spans="1:17" x14ac:dyDescent="0.3">
      <c r="D73" s="328"/>
    </row>
  </sheetData>
  <mergeCells count="7">
    <mergeCell ref="A1:A2"/>
    <mergeCell ref="A30:A32"/>
    <mergeCell ref="B1:B3"/>
    <mergeCell ref="B30:B32"/>
    <mergeCell ref="C30:H31"/>
    <mergeCell ref="C1:H2"/>
    <mergeCell ref="D25:E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A99F4-F446-43E1-A996-E02416E9ADDA}">
  <dimension ref="A1:I42"/>
  <sheetViews>
    <sheetView topLeftCell="A8" workbookViewId="0">
      <selection activeCell="D22" sqref="D22"/>
    </sheetView>
  </sheetViews>
  <sheetFormatPr defaultRowHeight="14.4" x14ac:dyDescent="0.3"/>
  <cols>
    <col min="1" max="1" width="6.6640625" customWidth="1"/>
    <col min="2" max="2" width="52.88671875" customWidth="1"/>
    <col min="3" max="3" width="33.5546875" customWidth="1"/>
    <col min="4" max="8" width="16.6640625" customWidth="1"/>
    <col min="9" max="9" width="12.6640625" customWidth="1"/>
    <col min="10" max="10" width="12" bestFit="1" customWidth="1"/>
  </cols>
  <sheetData>
    <row r="1" spans="1:9" ht="15" customHeight="1" x14ac:dyDescent="0.3">
      <c r="A1" s="539">
        <v>3</v>
      </c>
      <c r="B1" s="541" t="s">
        <v>180</v>
      </c>
    </row>
    <row r="2" spans="1:9" ht="32.4" customHeight="1" thickBot="1" x14ac:dyDescent="0.35">
      <c r="A2" s="540"/>
      <c r="B2" s="542"/>
    </row>
    <row r="3" spans="1:9" ht="16.2" customHeight="1" thickBot="1" x14ac:dyDescent="0.35">
      <c r="A3" s="83" t="s">
        <v>75</v>
      </c>
      <c r="B3" s="543" t="s">
        <v>60</v>
      </c>
      <c r="C3" s="544"/>
      <c r="D3" s="351"/>
      <c r="E3" s="348"/>
      <c r="F3" s="351"/>
      <c r="G3" s="351"/>
      <c r="H3" s="351"/>
      <c r="I3" s="351"/>
    </row>
    <row r="4" spans="1:9" ht="15.6" x14ac:dyDescent="0.3">
      <c r="A4" s="85"/>
      <c r="B4" s="87" t="s">
        <v>61</v>
      </c>
      <c r="C4" s="105">
        <v>22</v>
      </c>
      <c r="D4" s="88" t="s">
        <v>3</v>
      </c>
      <c r="E4" s="86"/>
      <c r="F4" s="86"/>
      <c r="G4" s="86"/>
      <c r="H4" s="86"/>
      <c r="I4" s="350"/>
    </row>
    <row r="5" spans="1:9" ht="15.6" x14ac:dyDescent="0.3">
      <c r="A5" s="85"/>
      <c r="B5" s="87" t="s">
        <v>73</v>
      </c>
      <c r="C5" s="105">
        <v>22</v>
      </c>
      <c r="D5" s="88" t="s">
        <v>3</v>
      </c>
      <c r="E5" s="86"/>
      <c r="F5" s="86"/>
      <c r="G5" s="86"/>
      <c r="H5" s="86"/>
      <c r="I5" s="349"/>
    </row>
    <row r="6" spans="1:9" ht="15.6" x14ac:dyDescent="0.3">
      <c r="A6" s="85"/>
      <c r="B6" s="26" t="s">
        <v>74</v>
      </c>
      <c r="C6" s="105">
        <v>22</v>
      </c>
      <c r="D6" s="88" t="s">
        <v>3</v>
      </c>
      <c r="E6" s="348"/>
      <c r="F6" s="351"/>
      <c r="G6" s="351"/>
      <c r="H6" s="351"/>
      <c r="I6" s="351"/>
    </row>
    <row r="7" spans="1:9" ht="16.2" thickBot="1" x14ac:dyDescent="0.35">
      <c r="A7" s="85"/>
      <c r="B7" s="86"/>
      <c r="C7" s="85"/>
      <c r="D7" s="86"/>
      <c r="E7" s="86"/>
      <c r="F7" s="86"/>
      <c r="G7" s="86"/>
      <c r="H7" s="86"/>
      <c r="I7" s="86"/>
    </row>
    <row r="8" spans="1:9" ht="16.2" thickBot="1" x14ac:dyDescent="0.35">
      <c r="A8" s="83" t="s">
        <v>76</v>
      </c>
      <c r="B8" s="84" t="s">
        <v>62</v>
      </c>
      <c r="C8" s="313"/>
      <c r="D8" s="90"/>
      <c r="E8" s="90"/>
      <c r="F8" s="90"/>
      <c r="G8" s="90"/>
      <c r="H8" s="91"/>
      <c r="I8" s="305"/>
    </row>
    <row r="9" spans="1:9" ht="16.2" thickBot="1" x14ac:dyDescent="0.35">
      <c r="A9" s="85"/>
      <c r="B9" s="310"/>
      <c r="C9" s="95" t="s">
        <v>63</v>
      </c>
      <c r="D9" s="345" t="s">
        <v>79</v>
      </c>
      <c r="E9" s="345">
        <v>2025</v>
      </c>
      <c r="F9" s="345">
        <v>2026</v>
      </c>
      <c r="G9" s="345">
        <v>2027</v>
      </c>
      <c r="H9" s="346">
        <v>2028</v>
      </c>
      <c r="I9" s="306"/>
    </row>
    <row r="10" spans="1:9" ht="16.2" x14ac:dyDescent="0.3">
      <c r="A10" s="96" t="s">
        <v>64</v>
      </c>
      <c r="B10" s="311" t="s">
        <v>65</v>
      </c>
      <c r="C10" s="344">
        <f t="shared" ref="C10:C12" si="0">SUM(D10:BL10)</f>
        <v>980423.05145930755</v>
      </c>
      <c r="D10" s="106">
        <f>SUM(D20:D21)*0.22</f>
        <v>956008.22992234991</v>
      </c>
      <c r="E10" s="107">
        <f t="shared" ref="E10:H10" si="1">SUM(E20:E21)*0.22</f>
        <v>6375.0060000000003</v>
      </c>
      <c r="F10" s="107">
        <f t="shared" si="1"/>
        <v>6406.8245999999999</v>
      </c>
      <c r="G10" s="107">
        <f t="shared" si="1"/>
        <v>6440.2117230000003</v>
      </c>
      <c r="H10" s="108">
        <f t="shared" si="1"/>
        <v>5192.7792139574985</v>
      </c>
      <c r="I10" s="110"/>
    </row>
    <row r="11" spans="1:9" ht="16.2" x14ac:dyDescent="0.3">
      <c r="A11" s="96" t="s">
        <v>66</v>
      </c>
      <c r="B11" s="311" t="s">
        <v>141</v>
      </c>
      <c r="C11" s="344">
        <f t="shared" si="0"/>
        <v>1472604.6132812451</v>
      </c>
      <c r="D11" s="109">
        <f>SUM(D17:D19)*0.22</f>
        <v>672620.051433046</v>
      </c>
      <c r="E11" s="110">
        <f>((SUM(('2 - Spec. ricavi e costi'!D$5):('2 - Spec. ricavi e costi'!D$11)))*22%)+((SUM(('2 - Spec. ricavi e costi'!D13):('2 - Spec. ricavi e costi'!D$15)))*22%)</f>
        <v>199996.14046204981</v>
      </c>
      <c r="F11" s="110">
        <f>((SUM(('2 - Spec. ricavi e costi'!E$5):('2 - Spec. ricavi e costi'!E$11)))*22%)+((SUM(('2 - Spec. ricavi e costi'!E13):('2 - Spec. ricavi e costi'!E$15)))*22%)</f>
        <v>199996.14046204981</v>
      </c>
      <c r="G11" s="110">
        <f>((SUM(('2 - Spec. ricavi e costi'!F$5):('2 - Spec. ricavi e costi'!F$11)))*22%)+((SUM(('2 - Spec. ricavi e costi'!F13):('2 - Spec. ricavi e costi'!F$15)))*22%)</f>
        <v>199996.14046204981</v>
      </c>
      <c r="H11" s="111">
        <f>((SUM(('2 - Spec. ricavi e costi'!G$5):('2 - Spec. ricavi e costi'!G$11)))*22%)+((SUM(('2 - Spec. ricavi e costi'!G13):('2 - Spec. ricavi e costi'!G$15)))*22%)</f>
        <v>199996.14046204981</v>
      </c>
      <c r="I11" s="110"/>
    </row>
    <row r="12" spans="1:9" ht="16.8" thickBot="1" x14ac:dyDescent="0.35">
      <c r="A12" s="96" t="s">
        <v>67</v>
      </c>
      <c r="B12" s="311" t="s">
        <v>68</v>
      </c>
      <c r="C12" s="344">
        <f t="shared" si="0"/>
        <v>492181.56182193785</v>
      </c>
      <c r="D12" s="362">
        <f>D11-D10</f>
        <v>-283388.17848930391</v>
      </c>
      <c r="E12" s="363">
        <f t="shared" ref="E12:H12" si="2">E11-E10</f>
        <v>193621.13446204981</v>
      </c>
      <c r="F12" s="363">
        <f t="shared" si="2"/>
        <v>193589.31586204981</v>
      </c>
      <c r="G12" s="363">
        <f t="shared" si="2"/>
        <v>193555.92873904982</v>
      </c>
      <c r="H12" s="364">
        <f t="shared" si="2"/>
        <v>194803.36124809232</v>
      </c>
      <c r="I12" s="110"/>
    </row>
    <row r="13" spans="1:9" ht="16.2" thickBot="1" x14ac:dyDescent="0.35">
      <c r="A13" s="98"/>
      <c r="B13" s="312" t="s">
        <v>69</v>
      </c>
      <c r="C13" s="112">
        <f>SUM(D13:BL13)</f>
        <v>119026.33930537984</v>
      </c>
      <c r="D13" s="368">
        <f>IF(D12&lt;0,D12,0)</f>
        <v>-283388.17848930391</v>
      </c>
      <c r="E13" s="369">
        <f>E12+D13</f>
        <v>-89767.044027254102</v>
      </c>
      <c r="F13" s="369">
        <f>F12+E13</f>
        <v>103822.27183479571</v>
      </c>
      <c r="G13" s="369">
        <f>G12</f>
        <v>193555.92873904982</v>
      </c>
      <c r="H13" s="370">
        <f>H12</f>
        <v>194803.36124809232</v>
      </c>
      <c r="I13" s="175"/>
    </row>
    <row r="14" spans="1:9" ht="16.8" thickBot="1" x14ac:dyDescent="0.35">
      <c r="A14" s="85"/>
      <c r="B14" s="347"/>
      <c r="C14" s="100"/>
      <c r="D14" s="101"/>
      <c r="E14" s="101"/>
      <c r="F14" s="101"/>
      <c r="G14" s="101"/>
      <c r="H14" s="101"/>
      <c r="I14" s="307"/>
    </row>
    <row r="15" spans="1:9" ht="16.2" thickBot="1" x14ac:dyDescent="0.35">
      <c r="A15" s="83" t="s">
        <v>77</v>
      </c>
      <c r="B15" s="84" t="s">
        <v>175</v>
      </c>
      <c r="C15" s="89"/>
      <c r="D15" s="317"/>
      <c r="E15" s="90"/>
      <c r="F15" s="90"/>
      <c r="G15" s="90"/>
      <c r="H15" s="91"/>
      <c r="I15" s="305"/>
    </row>
    <row r="16" spans="1:9" ht="16.2" thickBot="1" x14ac:dyDescent="0.35">
      <c r="A16" s="102"/>
      <c r="B16" s="103"/>
      <c r="C16" s="314"/>
      <c r="D16" s="357" t="s">
        <v>79</v>
      </c>
      <c r="E16" s="345">
        <v>2025</v>
      </c>
      <c r="F16" s="345">
        <v>2026</v>
      </c>
      <c r="G16" s="345">
        <v>2027</v>
      </c>
      <c r="H16" s="346">
        <v>2028</v>
      </c>
      <c r="I16" s="306"/>
    </row>
    <row r="17" spans="1:9" ht="15.6" x14ac:dyDescent="0.3">
      <c r="A17" s="361" t="s">
        <v>66</v>
      </c>
      <c r="B17" s="104" t="s">
        <v>78</v>
      </c>
      <c r="C17" s="320" t="s">
        <v>70</v>
      </c>
      <c r="D17" s="321">
        <f>'2 - Spec. ricavi e costi'!C13</f>
        <v>422667.96851086494</v>
      </c>
      <c r="E17" s="322">
        <f>'2 - Spec. ricavi e costi'!D13</f>
        <v>422667.96851086494</v>
      </c>
      <c r="F17" s="322">
        <f>'2 - Spec. ricavi e costi'!E13</f>
        <v>422667.96851086494</v>
      </c>
      <c r="G17" s="322">
        <f>'2 - Spec. ricavi e costi'!F13</f>
        <v>422667.96851086494</v>
      </c>
      <c r="H17" s="323">
        <f>'2 - Spec. ricavi e costi'!G13</f>
        <v>422667.96851086494</v>
      </c>
      <c r="I17" s="308"/>
    </row>
    <row r="18" spans="1:9" ht="15.6" x14ac:dyDescent="0.3">
      <c r="A18" s="361" t="s">
        <v>66</v>
      </c>
      <c r="B18" s="104" t="s">
        <v>184</v>
      </c>
      <c r="C18" s="315" t="s">
        <v>70</v>
      </c>
      <c r="D18" s="113">
        <f>'2 - Spec. ricavi e costi'!C14+'2 - Spec. ricavi e costi'!C15</f>
        <v>0</v>
      </c>
      <c r="E18" s="308">
        <f>'2 - Spec. ricavi e costi'!D14+'2 - Spec. ricavi e costi'!D15</f>
        <v>0</v>
      </c>
      <c r="F18" s="308">
        <f>'2 - Spec. ricavi e costi'!E14+'2 - Spec. ricavi e costi'!E15</f>
        <v>0</v>
      </c>
      <c r="G18" s="308">
        <f>'2 - Spec. ricavi e costi'!F14+'2 - Spec. ricavi e costi'!F15</f>
        <v>0</v>
      </c>
      <c r="H18" s="114">
        <f>'2 - Spec. ricavi e costi'!G14+'2 - Spec. ricavi e costi'!G15</f>
        <v>0</v>
      </c>
      <c r="I18" s="308"/>
    </row>
    <row r="19" spans="1:9" ht="15.6" x14ac:dyDescent="0.3">
      <c r="A19" s="361" t="s">
        <v>66</v>
      </c>
      <c r="B19" s="104" t="s">
        <v>176</v>
      </c>
      <c r="C19" s="315" t="s">
        <v>70</v>
      </c>
      <c r="D19" s="113">
        <f>SUM('2 - Spec. ricavi e costi'!H5:H11)</f>
        <v>2634695.9016393442</v>
      </c>
      <c r="E19" s="308">
        <v>0</v>
      </c>
      <c r="F19" s="308">
        <v>0</v>
      </c>
      <c r="G19" s="308">
        <v>0</v>
      </c>
      <c r="H19" s="114">
        <v>0</v>
      </c>
      <c r="I19" s="308"/>
    </row>
    <row r="20" spans="1:9" ht="15.6" x14ac:dyDescent="0.3">
      <c r="A20" s="361" t="s">
        <v>64</v>
      </c>
      <c r="B20" s="104" t="s">
        <v>177</v>
      </c>
      <c r="C20" s="315" t="s">
        <v>140</v>
      </c>
      <c r="D20" s="113">
        <f>'2 - Spec. ricavi e costi'!H33</f>
        <v>4312938.4541924996</v>
      </c>
      <c r="E20" s="308">
        <v>0</v>
      </c>
      <c r="F20" s="308">
        <v>0</v>
      </c>
      <c r="G20" s="308">
        <v>0</v>
      </c>
      <c r="H20" s="114">
        <v>0</v>
      </c>
      <c r="I20" s="308"/>
    </row>
    <row r="21" spans="1:9" ht="15.6" x14ac:dyDescent="0.3">
      <c r="A21" s="361" t="s">
        <v>64</v>
      </c>
      <c r="B21" s="97" t="s">
        <v>71</v>
      </c>
      <c r="C21" s="315" t="s">
        <v>140</v>
      </c>
      <c r="D21" s="113">
        <f>('2 - Spec. ricavi e costi'!C61)</f>
        <v>32553.5</v>
      </c>
      <c r="E21" s="308">
        <f>('2 - Spec. ricavi e costi'!D61)</f>
        <v>28977.3</v>
      </c>
      <c r="F21" s="308">
        <f>('2 - Spec. ricavi e costi'!E61)</f>
        <v>29121.93</v>
      </c>
      <c r="G21" s="308">
        <f>('2 - Spec. ricavi e costi'!F61)</f>
        <v>29273.68965</v>
      </c>
      <c r="H21" s="114">
        <f>('2 - Spec. ricavi e costi'!G61)</f>
        <v>23603.541881624991</v>
      </c>
      <c r="I21" s="308"/>
    </row>
    <row r="22" spans="1:9" ht="15.6" x14ac:dyDescent="0.3">
      <c r="A22" s="361" t="s">
        <v>64</v>
      </c>
      <c r="B22" s="97" t="s">
        <v>185</v>
      </c>
      <c r="C22" s="315" t="s">
        <v>72</v>
      </c>
      <c r="D22" s="113">
        <f>IF(D$13&lt;0,0,D$12)</f>
        <v>0</v>
      </c>
      <c r="E22" s="308">
        <f t="shared" ref="E22:H22" si="3">IF(E$13&lt;0,0,E$12)</f>
        <v>0</v>
      </c>
      <c r="F22" s="308">
        <f>F13</f>
        <v>103822.27183479571</v>
      </c>
      <c r="G22" s="308">
        <f>G13</f>
        <v>193555.92873904982</v>
      </c>
      <c r="H22" s="114">
        <f t="shared" si="3"/>
        <v>194803.36124809232</v>
      </c>
      <c r="I22" s="308"/>
    </row>
    <row r="23" spans="1:9" ht="16.2" thickBot="1" x14ac:dyDescent="0.35">
      <c r="A23" s="361" t="s">
        <v>67</v>
      </c>
      <c r="B23" s="97" t="s">
        <v>179</v>
      </c>
      <c r="C23" s="319" t="s">
        <v>178</v>
      </c>
      <c r="D23" s="115">
        <f>D17+D18-D21-D22+D19-D20</f>
        <v>-1288128.0840422907</v>
      </c>
      <c r="E23" s="116">
        <f>E17+E18-E21-E22+E19-E20</f>
        <v>393690.66851086495</v>
      </c>
      <c r="F23" s="116">
        <f>F17+F18-F21-F22+F19-F20</f>
        <v>289723.76667606924</v>
      </c>
      <c r="G23" s="116">
        <f>G17+G18-G21-G22+G19-G20</f>
        <v>199838.35012181511</v>
      </c>
      <c r="H23" s="117">
        <f>H17+H18-H21-H22+H19-H20</f>
        <v>204261.06538114761</v>
      </c>
      <c r="I23" s="308"/>
    </row>
    <row r="24" spans="1:9" ht="16.2" thickBot="1" x14ac:dyDescent="0.35">
      <c r="A24" s="98"/>
      <c r="B24" s="99" t="s">
        <v>175</v>
      </c>
      <c r="C24" s="316"/>
      <c r="D24" s="358">
        <f>D23</f>
        <v>-1288128.0840422907</v>
      </c>
      <c r="E24" s="359">
        <f>E23+D24</f>
        <v>-894437.41553142574</v>
      </c>
      <c r="F24" s="359">
        <f t="shared" ref="F24:H24" si="4">F23+E24</f>
        <v>-604713.6488553565</v>
      </c>
      <c r="G24" s="359">
        <f t="shared" si="4"/>
        <v>-404875.29873354139</v>
      </c>
      <c r="H24" s="360">
        <f t="shared" si="4"/>
        <v>-200614.23335239379</v>
      </c>
      <c r="I24" s="309"/>
    </row>
    <row r="26" spans="1:9" ht="15.6" x14ac:dyDescent="0.3">
      <c r="B26" s="506" t="s">
        <v>186</v>
      </c>
    </row>
    <row r="27" spans="1:9" ht="15.6" x14ac:dyDescent="0.3">
      <c r="B27" s="129" t="s">
        <v>114</v>
      </c>
      <c r="D27" s="138">
        <v>689074.31273644394</v>
      </c>
      <c r="E27" s="139">
        <v>486405.39722572506</v>
      </c>
      <c r="F27" s="139">
        <v>486405.39722572506</v>
      </c>
      <c r="G27" s="139">
        <v>486405.39722572506</v>
      </c>
      <c r="H27" s="140">
        <v>486405.39722572506</v>
      </c>
    </row>
    <row r="28" spans="1:9" ht="15.6" x14ac:dyDescent="0.3">
      <c r="B28" s="127" t="s">
        <v>115</v>
      </c>
      <c r="D28" s="273">
        <v>1214554.8289364036</v>
      </c>
      <c r="E28" s="268">
        <v>828406.3498374616</v>
      </c>
      <c r="F28" s="268">
        <v>828982.5998374616</v>
      </c>
      <c r="G28" s="268">
        <v>720479.03108746163</v>
      </c>
      <c r="H28" s="274">
        <v>720515.64449371165</v>
      </c>
    </row>
    <row r="29" spans="1:9" ht="16.2" thickBot="1" x14ac:dyDescent="0.35">
      <c r="D29" s="308"/>
      <c r="E29" s="308"/>
      <c r="F29" s="308"/>
      <c r="G29" s="308"/>
      <c r="H29" s="308"/>
    </row>
    <row r="30" spans="1:9" ht="16.2" thickBot="1" x14ac:dyDescent="0.35">
      <c r="A30" s="102"/>
      <c r="B30" s="103"/>
      <c r="C30" s="314"/>
      <c r="D30" s="357" t="s">
        <v>79</v>
      </c>
      <c r="E30" s="345">
        <v>2025</v>
      </c>
      <c r="F30" s="345">
        <v>2026</v>
      </c>
      <c r="G30" s="345">
        <v>2027</v>
      </c>
      <c r="H30" s="346">
        <v>2028</v>
      </c>
      <c r="I30" s="306"/>
    </row>
    <row r="31" spans="1:9" ht="15.6" x14ac:dyDescent="0.3">
      <c r="A31" s="361" t="s">
        <v>66</v>
      </c>
      <c r="B31" s="104" t="s">
        <v>78</v>
      </c>
      <c r="C31" s="320" t="s">
        <v>70</v>
      </c>
      <c r="D31" s="508">
        <v>58667.968510864957</v>
      </c>
      <c r="E31" s="509">
        <v>58667.968510864957</v>
      </c>
      <c r="F31" s="509">
        <v>58667.968510864957</v>
      </c>
      <c r="G31" s="509">
        <v>58667.968510864957</v>
      </c>
      <c r="H31" s="510">
        <v>58667.968510864957</v>
      </c>
      <c r="I31" s="308"/>
    </row>
    <row r="32" spans="1:9" ht="15.6" x14ac:dyDescent="0.3">
      <c r="A32" s="361" t="s">
        <v>66</v>
      </c>
      <c r="B32" s="104" t="s">
        <v>184</v>
      </c>
      <c r="C32" s="315" t="s">
        <v>70</v>
      </c>
      <c r="D32" s="511">
        <v>364000</v>
      </c>
      <c r="E32" s="507">
        <v>364000</v>
      </c>
      <c r="F32" s="507">
        <v>364000</v>
      </c>
      <c r="G32" s="507">
        <v>364000</v>
      </c>
      <c r="H32" s="512">
        <v>364000</v>
      </c>
      <c r="I32" s="308"/>
    </row>
    <row r="33" spans="1:9" ht="15.6" x14ac:dyDescent="0.3">
      <c r="A33" s="361" t="s">
        <v>66</v>
      </c>
      <c r="B33" s="104" t="s">
        <v>176</v>
      </c>
      <c r="C33" s="315" t="s">
        <v>70</v>
      </c>
      <c r="D33" s="511">
        <f>D19-D27</f>
        <v>1945621.5889029002</v>
      </c>
      <c r="E33" s="507">
        <f t="shared" ref="E33:H33" si="5">E19-E27</f>
        <v>-486405.39722572506</v>
      </c>
      <c r="F33" s="507">
        <f t="shared" si="5"/>
        <v>-486405.39722572506</v>
      </c>
      <c r="G33" s="507">
        <f t="shared" si="5"/>
        <v>-486405.39722572506</v>
      </c>
      <c r="H33" s="512">
        <f t="shared" si="5"/>
        <v>-486405.39722572506</v>
      </c>
      <c r="I33" s="308"/>
    </row>
    <row r="34" spans="1:9" ht="15.6" x14ac:dyDescent="0.3">
      <c r="A34" s="361" t="s">
        <v>64</v>
      </c>
      <c r="B34" s="104" t="s">
        <v>177</v>
      </c>
      <c r="C34" s="315" t="s">
        <v>140</v>
      </c>
      <c r="D34" s="511">
        <f>D20-D28</f>
        <v>3098383.625256096</v>
      </c>
      <c r="E34" s="507">
        <f t="shared" ref="E34:H34" si="6">E20-E28</f>
        <v>-828406.3498374616</v>
      </c>
      <c r="F34" s="507">
        <f t="shared" si="6"/>
        <v>-828982.5998374616</v>
      </c>
      <c r="G34" s="507">
        <f t="shared" si="6"/>
        <v>-720479.03108746163</v>
      </c>
      <c r="H34" s="512">
        <f t="shared" si="6"/>
        <v>-720515.64449371165</v>
      </c>
      <c r="I34" s="308"/>
    </row>
    <row r="35" spans="1:9" ht="15.6" x14ac:dyDescent="0.3">
      <c r="A35" s="361" t="s">
        <v>64</v>
      </c>
      <c r="B35" s="97" t="s">
        <v>71</v>
      </c>
      <c r="C35" s="315" t="s">
        <v>140</v>
      </c>
      <c r="D35" s="511">
        <v>32553.5</v>
      </c>
      <c r="E35" s="507">
        <v>28977.3</v>
      </c>
      <c r="F35" s="507">
        <v>29121.93</v>
      </c>
      <c r="G35" s="507">
        <v>29273.68965</v>
      </c>
      <c r="H35" s="512">
        <v>23603.541881624991</v>
      </c>
      <c r="I35" s="308"/>
    </row>
    <row r="36" spans="1:9" ht="15.6" x14ac:dyDescent="0.3">
      <c r="A36" s="361" t="s">
        <v>64</v>
      </c>
      <c r="B36" s="97" t="s">
        <v>185</v>
      </c>
      <c r="C36" s="315" t="s">
        <v>72</v>
      </c>
      <c r="D36" s="511">
        <v>0</v>
      </c>
      <c r="E36" s="507">
        <v>0</v>
      </c>
      <c r="F36" s="507">
        <v>103822.27183479571</v>
      </c>
      <c r="G36" s="507">
        <v>193555.92873904982</v>
      </c>
      <c r="H36" s="512">
        <v>194803.36124809232</v>
      </c>
      <c r="I36" s="308"/>
    </row>
    <row r="37" spans="1:9" ht="16.2" thickBot="1" x14ac:dyDescent="0.35">
      <c r="A37" s="361" t="s">
        <v>67</v>
      </c>
      <c r="B37" s="97" t="s">
        <v>179</v>
      </c>
      <c r="C37" s="319" t="s">
        <v>178</v>
      </c>
      <c r="D37" s="513">
        <f>D31+D32-D35-D36+D33-D34</f>
        <v>-762647.56784233078</v>
      </c>
      <c r="E37" s="514">
        <f t="shared" ref="E37:H37" si="7">E31+E32-E35-E36+E33-E34</f>
        <v>735691.62112260144</v>
      </c>
      <c r="F37" s="514">
        <f t="shared" si="7"/>
        <v>632300.96928780572</v>
      </c>
      <c r="G37" s="514">
        <f t="shared" si="7"/>
        <v>433911.98398355168</v>
      </c>
      <c r="H37" s="515">
        <f t="shared" si="7"/>
        <v>438371.3126491342</v>
      </c>
      <c r="I37" s="308"/>
    </row>
    <row r="38" spans="1:9" ht="16.2" thickBot="1" x14ac:dyDescent="0.35">
      <c r="A38" s="98"/>
      <c r="B38" s="99" t="s">
        <v>175</v>
      </c>
      <c r="C38" s="316"/>
      <c r="D38" s="358">
        <f>D37</f>
        <v>-762647.56784233078</v>
      </c>
      <c r="E38" s="359">
        <f>D38+E37</f>
        <v>-26955.946719729342</v>
      </c>
      <c r="F38" s="359">
        <f t="shared" ref="F38:H38" si="8">E38+F37</f>
        <v>605345.02256807638</v>
      </c>
      <c r="G38" s="359">
        <f t="shared" si="8"/>
        <v>1039257.006551628</v>
      </c>
      <c r="H38" s="360">
        <f t="shared" si="8"/>
        <v>1477628.3192007621</v>
      </c>
      <c r="I38" s="309"/>
    </row>
    <row r="39" spans="1:9" x14ac:dyDescent="0.3">
      <c r="C39" s="365"/>
      <c r="D39" s="365"/>
      <c r="E39" s="365"/>
      <c r="F39" s="365"/>
      <c r="G39" s="365"/>
    </row>
    <row r="40" spans="1:9" x14ac:dyDescent="0.3">
      <c r="B40" s="366"/>
      <c r="C40" s="365"/>
      <c r="D40" s="365"/>
      <c r="E40" s="365"/>
      <c r="F40" s="365"/>
      <c r="G40" s="365"/>
    </row>
    <row r="42" spans="1:9" x14ac:dyDescent="0.3">
      <c r="B42" s="367"/>
    </row>
  </sheetData>
  <mergeCells count="3">
    <mergeCell ref="A1:A2"/>
    <mergeCell ref="B1:B2"/>
    <mergeCell ref="B3:C3"/>
  </mergeCells>
  <conditionalFormatting sqref="C13:I13 C14 D24:I24">
    <cfRule type="cellIs" dxfId="5" priority="4" operator="lessThan">
      <formula>0</formula>
    </cfRule>
  </conditionalFormatting>
  <conditionalFormatting sqref="D38:I38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ABAFA-F938-4E86-98B4-0BBE5BE76AC0}">
  <dimension ref="A1:J102"/>
  <sheetViews>
    <sheetView workbookViewId="0">
      <selection activeCell="C7" sqref="C7"/>
    </sheetView>
  </sheetViews>
  <sheetFormatPr defaultRowHeight="14.4" x14ac:dyDescent="0.3"/>
  <cols>
    <col min="1" max="1" width="6.6640625" customWidth="1"/>
    <col min="2" max="2" width="71.109375" bestFit="1" customWidth="1"/>
    <col min="3" max="3" width="35.33203125" bestFit="1" customWidth="1"/>
    <col min="4" max="8" width="16.6640625" customWidth="1"/>
    <col min="9" max="9" width="10.88671875" customWidth="1"/>
    <col min="10" max="10" width="16.6640625" customWidth="1"/>
  </cols>
  <sheetData>
    <row r="1" spans="1:10" ht="30" customHeight="1" thickBot="1" x14ac:dyDescent="0.35">
      <c r="A1" s="118">
        <v>4</v>
      </c>
      <c r="B1" s="333" t="s">
        <v>136</v>
      </c>
      <c r="C1" s="119" t="s">
        <v>3</v>
      </c>
      <c r="D1" s="120"/>
      <c r="E1" s="120"/>
      <c r="F1" s="120"/>
      <c r="G1" s="120"/>
      <c r="H1" s="120"/>
      <c r="I1" s="120"/>
      <c r="J1" s="120"/>
    </row>
    <row r="2" spans="1:10" ht="31.8" thickBot="1" x14ac:dyDescent="0.35">
      <c r="A2" s="121" t="s">
        <v>98</v>
      </c>
      <c r="B2" s="122" t="s">
        <v>80</v>
      </c>
      <c r="C2" s="123" t="s">
        <v>81</v>
      </c>
      <c r="D2" s="265" t="s">
        <v>79</v>
      </c>
      <c r="E2" s="266">
        <v>2025</v>
      </c>
      <c r="F2" s="266">
        <v>2026</v>
      </c>
      <c r="G2" s="266">
        <v>2027</v>
      </c>
      <c r="H2" s="267">
        <v>2028</v>
      </c>
      <c r="I2" s="124"/>
      <c r="J2" s="124"/>
    </row>
    <row r="3" spans="1:10" ht="15.6" x14ac:dyDescent="0.3">
      <c r="A3" s="128" t="s">
        <v>66</v>
      </c>
      <c r="B3" s="127" t="s">
        <v>78</v>
      </c>
      <c r="C3" s="264">
        <f>SUM(D3:H3)</f>
        <v>2113339.8425543248</v>
      </c>
      <c r="D3" s="270">
        <f>'2 - Spec. ricavi e costi'!$C$13</f>
        <v>422667.96851086494</v>
      </c>
      <c r="E3" s="271">
        <f>'2 - Spec. ricavi e costi'!$C$13</f>
        <v>422667.96851086494</v>
      </c>
      <c r="F3" s="271">
        <f>'2 - Spec. ricavi e costi'!$C$13</f>
        <v>422667.96851086494</v>
      </c>
      <c r="G3" s="271">
        <f>'2 - Spec. ricavi e costi'!$C$13</f>
        <v>422667.96851086494</v>
      </c>
      <c r="H3" s="272">
        <f>'2 - Spec. ricavi e costi'!$C$13</f>
        <v>422667.96851086494</v>
      </c>
      <c r="I3" s="124"/>
      <c r="J3" s="124"/>
    </row>
    <row r="4" spans="1:10" ht="15.6" x14ac:dyDescent="0.3">
      <c r="A4" s="126" t="s">
        <v>66</v>
      </c>
      <c r="B4" s="127" t="s">
        <v>132</v>
      </c>
      <c r="C4" s="264">
        <f>SUM(D4:H4)</f>
        <v>0</v>
      </c>
      <c r="D4" s="273">
        <f>'2 - Spec. ricavi e costi'!C14+'2 - Spec. ricavi e costi'!C15</f>
        <v>0</v>
      </c>
      <c r="E4" s="268">
        <f>'2 - Spec. ricavi e costi'!D14+'2 - Spec. ricavi e costi'!D15</f>
        <v>0</v>
      </c>
      <c r="F4" s="268">
        <f>'2 - Spec. ricavi e costi'!E14+'2 - Spec. ricavi e costi'!E15</f>
        <v>0</v>
      </c>
      <c r="G4" s="268">
        <f>'2 - Spec. ricavi e costi'!F14+'2 - Spec. ricavi e costi'!F15</f>
        <v>0</v>
      </c>
      <c r="H4" s="274">
        <f>'2 - Spec. ricavi e costi'!G14+'2 - Spec. ricavi e costi'!G15</f>
        <v>0</v>
      </c>
      <c r="I4" s="125"/>
      <c r="J4" s="125"/>
    </row>
    <row r="5" spans="1:10" ht="15.6" x14ac:dyDescent="0.3">
      <c r="A5" s="128" t="s">
        <v>66</v>
      </c>
      <c r="B5" s="129" t="s">
        <v>114</v>
      </c>
      <c r="C5" s="264">
        <f>SUM(D5:BK5)</f>
        <v>2634695.9016393442</v>
      </c>
      <c r="D5" s="138">
        <f>SUM(('2 - Spec. ricavi e costi'!C5):('2 - Spec. ricavi e costi'!C11))</f>
        <v>689074.31273644394</v>
      </c>
      <c r="E5" s="139">
        <f>SUM(('2 - Spec. ricavi e costi'!D5):('2 - Spec. ricavi e costi'!D11))</f>
        <v>486405.39722572506</v>
      </c>
      <c r="F5" s="139">
        <f>SUM(('2 - Spec. ricavi e costi'!E5):('2 - Spec. ricavi e costi'!E11))</f>
        <v>486405.39722572506</v>
      </c>
      <c r="G5" s="139">
        <f>SUM(('2 - Spec. ricavi e costi'!F5):('2 - Spec. ricavi e costi'!F11))</f>
        <v>486405.39722572506</v>
      </c>
      <c r="H5" s="140">
        <f>SUM(('2 - Spec. ricavi e costi'!G5):('2 - Spec. ricavi e costi'!G11))</f>
        <v>486405.39722572506</v>
      </c>
      <c r="I5" s="110"/>
      <c r="J5" s="110"/>
    </row>
    <row r="6" spans="1:10" ht="15.6" x14ac:dyDescent="0.3">
      <c r="A6" s="128" t="s">
        <v>64</v>
      </c>
      <c r="B6" s="127" t="s">
        <v>115</v>
      </c>
      <c r="C6" s="264">
        <f t="shared" ref="C6:C14" si="0">SUM(D6:BK6)</f>
        <v>4312938.4541925006</v>
      </c>
      <c r="D6" s="273">
        <f>'2 - Spec. ricavi e costi'!C33</f>
        <v>1214554.8289364036</v>
      </c>
      <c r="E6" s="268">
        <f>'2 - Spec. ricavi e costi'!D33</f>
        <v>828406.3498374616</v>
      </c>
      <c r="F6" s="268">
        <f>'2 - Spec. ricavi e costi'!E33</f>
        <v>828982.5998374616</v>
      </c>
      <c r="G6" s="268">
        <f>'2 - Spec. ricavi e costi'!F33</f>
        <v>720479.03108746163</v>
      </c>
      <c r="H6" s="274">
        <f>'2 - Spec. ricavi e costi'!G33</f>
        <v>720515.64449371165</v>
      </c>
      <c r="I6" s="125"/>
      <c r="J6" s="125"/>
    </row>
    <row r="7" spans="1:10" ht="15.6" x14ac:dyDescent="0.3">
      <c r="A7" s="128" t="s">
        <v>64</v>
      </c>
      <c r="B7" s="127" t="s">
        <v>83</v>
      </c>
      <c r="C7" s="264">
        <f t="shared" si="0"/>
        <v>143529.96153162501</v>
      </c>
      <c r="D7" s="275">
        <f>'2 - Spec. ricavi e costi'!C61</f>
        <v>32553.5</v>
      </c>
      <c r="E7" s="269">
        <f>'2 - Spec. ricavi e costi'!D61</f>
        <v>28977.3</v>
      </c>
      <c r="F7" s="269">
        <f>'2 - Spec. ricavi e costi'!E61</f>
        <v>29121.93</v>
      </c>
      <c r="G7" s="269">
        <f>'2 - Spec. ricavi e costi'!F61</f>
        <v>29273.68965</v>
      </c>
      <c r="H7" s="276">
        <f>'2 - Spec. ricavi e costi'!G61</f>
        <v>23603.541881624991</v>
      </c>
      <c r="I7" s="125"/>
      <c r="J7" s="125"/>
    </row>
    <row r="8" spans="1:10" ht="16.2" thickBot="1" x14ac:dyDescent="0.35">
      <c r="A8" s="128" t="s">
        <v>64</v>
      </c>
      <c r="B8" s="130" t="s">
        <v>84</v>
      </c>
      <c r="C8" s="264">
        <f>SUM(D8:BK8)</f>
        <v>0</v>
      </c>
      <c r="D8" s="294">
        <v>0</v>
      </c>
      <c r="E8" s="295">
        <v>0</v>
      </c>
      <c r="F8" s="295">
        <v>0</v>
      </c>
      <c r="G8" s="295">
        <v>0</v>
      </c>
      <c r="H8" s="296">
        <v>0</v>
      </c>
      <c r="I8" s="125"/>
      <c r="J8" s="125"/>
    </row>
    <row r="9" spans="1:10" ht="16.2" thickBot="1" x14ac:dyDescent="0.35">
      <c r="A9" s="131" t="s">
        <v>67</v>
      </c>
      <c r="B9" s="132" t="s">
        <v>85</v>
      </c>
      <c r="C9" s="324">
        <f t="shared" si="0"/>
        <v>291567.32846954383</v>
      </c>
      <c r="D9" s="410">
        <f>D3+D4+D5-D6-D7-D8</f>
        <v>-135366.04768909467</v>
      </c>
      <c r="E9" s="411">
        <f t="shared" ref="E9:H9" si="1">E3+E4+E5-E6-E7-E8</f>
        <v>51689.715899128394</v>
      </c>
      <c r="F9" s="411">
        <f t="shared" si="1"/>
        <v>50968.835899128397</v>
      </c>
      <c r="G9" s="411">
        <f t="shared" si="1"/>
        <v>159320.64499912836</v>
      </c>
      <c r="H9" s="412">
        <f t="shared" si="1"/>
        <v>164954.17936125337</v>
      </c>
      <c r="I9" s="134"/>
      <c r="J9" s="134"/>
    </row>
    <row r="10" spans="1:10" ht="15.6" x14ac:dyDescent="0.3">
      <c r="A10" s="128" t="s">
        <v>64</v>
      </c>
      <c r="B10" s="86" t="s">
        <v>97</v>
      </c>
      <c r="C10" s="264">
        <f t="shared" si="0"/>
        <v>61325.350000000006</v>
      </c>
      <c r="D10" s="416">
        <f>'6 - Dettaglio comp. ammort.'!F7</f>
        <v>12265.070000000002</v>
      </c>
      <c r="E10" s="417">
        <f>'6 - Dettaglio comp. ammort.'!G7</f>
        <v>12265.070000000002</v>
      </c>
      <c r="F10" s="417">
        <f>'6 - Dettaglio comp. ammort.'!H7</f>
        <v>12265.070000000002</v>
      </c>
      <c r="G10" s="417">
        <f>'6 - Dettaglio comp. ammort.'!I7</f>
        <v>12265.070000000002</v>
      </c>
      <c r="H10" s="418">
        <f>'6 - Dettaglio comp. ammort.'!J7</f>
        <v>12265.070000000002</v>
      </c>
      <c r="I10" s="135"/>
      <c r="J10" s="135"/>
    </row>
    <row r="11" spans="1:10" ht="15.6" x14ac:dyDescent="0.3">
      <c r="A11" s="128" t="s">
        <v>64</v>
      </c>
      <c r="B11" s="86" t="s">
        <v>96</v>
      </c>
      <c r="C11" s="264">
        <f t="shared" si="0"/>
        <v>0</v>
      </c>
      <c r="D11" s="138">
        <v>0</v>
      </c>
      <c r="E11" s="139">
        <v>0</v>
      </c>
      <c r="F11" s="139">
        <f>E11</f>
        <v>0</v>
      </c>
      <c r="G11" s="139">
        <f>F11</f>
        <v>0</v>
      </c>
      <c r="H11" s="140">
        <f>G11</f>
        <v>0</v>
      </c>
      <c r="I11" s="135"/>
      <c r="J11" s="135"/>
    </row>
    <row r="12" spans="1:10" ht="16.2" x14ac:dyDescent="0.3">
      <c r="A12" s="136"/>
      <c r="B12" s="137" t="s">
        <v>86</v>
      </c>
      <c r="C12" s="282">
        <f t="shared" si="0"/>
        <v>230241.97846954383</v>
      </c>
      <c r="D12" s="285">
        <f>D9-D10-D11</f>
        <v>-147631.11768909468</v>
      </c>
      <c r="E12" s="284">
        <f>E9-E10-E11</f>
        <v>39424.645899128394</v>
      </c>
      <c r="F12" s="284">
        <f>F9-F10-F11</f>
        <v>38703.765899128397</v>
      </c>
      <c r="G12" s="284">
        <f>G9-G10-G11</f>
        <v>147055.57499912835</v>
      </c>
      <c r="H12" s="286">
        <f>H9-H10-H11</f>
        <v>152689.10936125336</v>
      </c>
      <c r="I12" s="135"/>
      <c r="J12" s="135"/>
    </row>
    <row r="13" spans="1:10" ht="16.2" x14ac:dyDescent="0.3">
      <c r="A13" s="136"/>
      <c r="B13" s="137" t="s">
        <v>87</v>
      </c>
      <c r="C13" s="283">
        <f t="shared" si="0"/>
        <v>230241.97846954383</v>
      </c>
      <c r="D13" s="285">
        <f>D9-D10-D11+D31+D35</f>
        <v>-147631.11768909468</v>
      </c>
      <c r="E13" s="284">
        <f>E9-E10-E11+E31+E35</f>
        <v>39424.645899128394</v>
      </c>
      <c r="F13" s="284">
        <f>F9-F10-F11+F31+F35</f>
        <v>38703.765899128397</v>
      </c>
      <c r="G13" s="284">
        <f>G9-G10-G11+G31+G35</f>
        <v>147055.57499912835</v>
      </c>
      <c r="H13" s="286">
        <f>H9-H10-H11+H31+H35</f>
        <v>152689.10936125336</v>
      </c>
      <c r="I13" s="135"/>
      <c r="J13" s="135"/>
    </row>
    <row r="14" spans="1:10" ht="16.2" thickBot="1" x14ac:dyDescent="0.35">
      <c r="A14" s="128" t="s">
        <v>64</v>
      </c>
      <c r="B14" s="86" t="s">
        <v>88</v>
      </c>
      <c r="C14" s="264">
        <f t="shared" si="0"/>
        <v>103159.35525130833</v>
      </c>
      <c r="D14" s="394">
        <f>'5 - Conto Economico'!C17</f>
        <v>0</v>
      </c>
      <c r="E14" s="395">
        <f>'5 - Conto Economico'!D17</f>
        <v>10762.928330462053</v>
      </c>
      <c r="F14" s="395">
        <f>'5 - Conto Economico'!E17</f>
        <v>10566.128090462053</v>
      </c>
      <c r="G14" s="395">
        <f>'5 - Conto Economico'!F17</f>
        <v>40146.171974762045</v>
      </c>
      <c r="H14" s="396">
        <f>'5 - Conto Economico'!G17</f>
        <v>41684.126855622169</v>
      </c>
      <c r="I14" s="125"/>
      <c r="J14" s="125"/>
    </row>
    <row r="15" spans="1:10" ht="16.2" thickBot="1" x14ac:dyDescent="0.35">
      <c r="A15" s="373" t="s">
        <v>82</v>
      </c>
      <c r="B15" s="378" t="s">
        <v>89</v>
      </c>
      <c r="C15" s="133">
        <f>SUM(D15:BK15)</f>
        <v>127082.6232182355</v>
      </c>
      <c r="D15" s="413">
        <f>D13-D14</f>
        <v>-147631.11768909468</v>
      </c>
      <c r="E15" s="414">
        <f t="shared" ref="E15:H15" si="2">E13-E14</f>
        <v>28661.71756866634</v>
      </c>
      <c r="F15" s="414">
        <f t="shared" si="2"/>
        <v>28137.637808666346</v>
      </c>
      <c r="G15" s="414">
        <f t="shared" si="2"/>
        <v>106909.4030243663</v>
      </c>
      <c r="H15" s="415">
        <f t="shared" si="2"/>
        <v>111004.9825056312</v>
      </c>
      <c r="I15" s="125"/>
      <c r="J15" s="125"/>
    </row>
    <row r="16" spans="1:10" ht="16.2" thickBot="1" x14ac:dyDescent="0.35">
      <c r="A16" s="94"/>
      <c r="B16" s="379" t="s">
        <v>145</v>
      </c>
      <c r="C16" s="133">
        <f>SUM(D16:H16)</f>
        <v>230241.97846954383</v>
      </c>
      <c r="D16" s="325">
        <f>'5 - Conto Economico'!C13</f>
        <v>-147631.11768909468</v>
      </c>
      <c r="E16" s="326">
        <f>'5 - Conto Economico'!D13</f>
        <v>39424.645899128394</v>
      </c>
      <c r="F16" s="326">
        <f>'5 - Conto Economico'!E13</f>
        <v>38703.765899128397</v>
      </c>
      <c r="G16" s="326">
        <f>'5 - Conto Economico'!F13</f>
        <v>147055.57499912835</v>
      </c>
      <c r="H16" s="327">
        <f>'5 - Conto Economico'!G13</f>
        <v>152689.10936125336</v>
      </c>
      <c r="I16" s="142"/>
      <c r="J16" s="142"/>
    </row>
    <row r="17" spans="1:10" ht="16.2" thickBot="1" x14ac:dyDescent="0.35">
      <c r="A17" s="94"/>
      <c r="B17" s="377" t="s">
        <v>146</v>
      </c>
      <c r="C17" s="264">
        <f t="shared" ref="C17:C23" si="3">SUM(D17:H17)</f>
        <v>103159.35525130833</v>
      </c>
      <c r="D17" s="380">
        <f>'5 - Conto Economico'!C17</f>
        <v>0</v>
      </c>
      <c r="E17" s="381">
        <f>'5 - Conto Economico'!D17</f>
        <v>10762.928330462053</v>
      </c>
      <c r="F17" s="381">
        <f>'5 - Conto Economico'!E17</f>
        <v>10566.128090462053</v>
      </c>
      <c r="G17" s="381">
        <f>'5 - Conto Economico'!F17</f>
        <v>40146.171974762045</v>
      </c>
      <c r="H17" s="382">
        <f>'5 - Conto Economico'!G17</f>
        <v>41684.126855622169</v>
      </c>
      <c r="I17" s="142"/>
      <c r="J17" s="142"/>
    </row>
    <row r="18" spans="1:10" ht="16.2" thickBot="1" x14ac:dyDescent="0.35">
      <c r="A18" s="94"/>
      <c r="B18" s="379" t="s">
        <v>147</v>
      </c>
      <c r="C18" s="133">
        <f t="shared" si="3"/>
        <v>127082.6232182355</v>
      </c>
      <c r="D18" s="419">
        <f>D16-D17</f>
        <v>-147631.11768909468</v>
      </c>
      <c r="E18" s="420">
        <f>E16-E17</f>
        <v>28661.71756866634</v>
      </c>
      <c r="F18" s="420">
        <f>F16-F17</f>
        <v>28137.637808666346</v>
      </c>
      <c r="G18" s="420">
        <f>G16-G17</f>
        <v>106909.4030243663</v>
      </c>
      <c r="H18" s="421">
        <f>H16-H17</f>
        <v>111004.9825056312</v>
      </c>
      <c r="I18" s="142"/>
      <c r="J18" s="142"/>
    </row>
    <row r="19" spans="1:10" ht="15.6" x14ac:dyDescent="0.3">
      <c r="A19" s="94"/>
      <c r="B19" s="377" t="s">
        <v>174</v>
      </c>
      <c r="C19" s="264">
        <f t="shared" si="3"/>
        <v>2332626.8337584063</v>
      </c>
      <c r="D19" s="416">
        <f>'3 - Parametri, IVA, flusso fin.'!D38</f>
        <v>-762647.56784233078</v>
      </c>
      <c r="E19" s="417">
        <f>'3 - Parametri, IVA, flusso fin.'!E38</f>
        <v>-26955.946719729342</v>
      </c>
      <c r="F19" s="417">
        <f>'3 - Parametri, IVA, flusso fin.'!F38</f>
        <v>605345.02256807638</v>
      </c>
      <c r="G19" s="417">
        <f>'3 - Parametri, IVA, flusso fin.'!G38</f>
        <v>1039257.006551628</v>
      </c>
      <c r="H19" s="418">
        <f>'3 - Parametri, IVA, flusso fin.'!H38</f>
        <v>1477628.3192007621</v>
      </c>
      <c r="I19" s="142"/>
      <c r="J19" s="142"/>
    </row>
    <row r="20" spans="1:10" ht="15.6" x14ac:dyDescent="0.3">
      <c r="A20" s="94"/>
      <c r="B20" s="377" t="s">
        <v>137</v>
      </c>
      <c r="C20" s="264">
        <f>SUM(D20:H20)</f>
        <v>900000</v>
      </c>
      <c r="D20" s="138">
        <f>'2 - Spec. ricavi e costi'!C12</f>
        <v>900000</v>
      </c>
      <c r="E20" s="139">
        <f>'2 - Spec. ricavi e costi'!D12</f>
        <v>0</v>
      </c>
      <c r="F20" s="139">
        <f>'2 - Spec. ricavi e costi'!E12</f>
        <v>0</v>
      </c>
      <c r="G20" s="139">
        <f>'2 - Spec. ricavi e costi'!F12</f>
        <v>0</v>
      </c>
      <c r="H20" s="140">
        <f>'2 - Spec. ricavi e costi'!G12</f>
        <v>0</v>
      </c>
      <c r="I20" s="142"/>
      <c r="J20" s="142"/>
    </row>
    <row r="21" spans="1:10" ht="16.2" thickBot="1" x14ac:dyDescent="0.35">
      <c r="A21" s="94"/>
      <c r="B21" s="377" t="s">
        <v>148</v>
      </c>
      <c r="C21" s="264">
        <f t="shared" si="3"/>
        <v>61325.350000000006</v>
      </c>
      <c r="D21" s="422">
        <f>D10</f>
        <v>12265.070000000002</v>
      </c>
      <c r="E21" s="423">
        <f t="shared" ref="E21:H21" si="4">E10</f>
        <v>12265.070000000002</v>
      </c>
      <c r="F21" s="423">
        <f t="shared" si="4"/>
        <v>12265.070000000002</v>
      </c>
      <c r="G21" s="423">
        <f t="shared" si="4"/>
        <v>12265.070000000002</v>
      </c>
      <c r="H21" s="424">
        <f t="shared" si="4"/>
        <v>12265.070000000002</v>
      </c>
      <c r="I21" s="142"/>
      <c r="J21" s="142"/>
    </row>
    <row r="22" spans="1:10" ht="16.2" thickBot="1" x14ac:dyDescent="0.35">
      <c r="A22" s="94"/>
      <c r="B22" s="389" t="s">
        <v>149</v>
      </c>
      <c r="C22" s="324">
        <f t="shared" si="3"/>
        <v>3421034.8069766415</v>
      </c>
      <c r="D22" s="390">
        <f>D18+D19+D20+D21</f>
        <v>1986.3844685744789</v>
      </c>
      <c r="E22" s="391">
        <f t="shared" ref="E22:H22" si="5">E18+E19+E20+E21</f>
        <v>13970.840848936999</v>
      </c>
      <c r="F22" s="391">
        <f t="shared" si="5"/>
        <v>645747.73037674266</v>
      </c>
      <c r="G22" s="391">
        <f t="shared" si="5"/>
        <v>1158431.4795759944</v>
      </c>
      <c r="H22" s="392">
        <f t="shared" si="5"/>
        <v>1600898.3717063933</v>
      </c>
      <c r="I22" s="142"/>
      <c r="J22" s="142"/>
    </row>
    <row r="23" spans="1:10" ht="16.2" thickBot="1" x14ac:dyDescent="0.35">
      <c r="A23" s="94"/>
      <c r="B23" s="388" t="s">
        <v>150</v>
      </c>
      <c r="C23" s="133">
        <f t="shared" si="3"/>
        <v>3421034.8069766415</v>
      </c>
      <c r="D23" s="390">
        <f>D22</f>
        <v>1986.3844685744789</v>
      </c>
      <c r="E23" s="391">
        <f t="shared" ref="E23" si="6">E22</f>
        <v>13970.840848936999</v>
      </c>
      <c r="F23" s="391">
        <f t="shared" ref="F23" si="7">F22</f>
        <v>645747.73037674266</v>
      </c>
      <c r="G23" s="391">
        <f t="shared" ref="G23" si="8">G22</f>
        <v>1158431.4795759944</v>
      </c>
      <c r="H23" s="392">
        <f t="shared" ref="H23" si="9">H22</f>
        <v>1600898.3717063933</v>
      </c>
      <c r="I23" s="142"/>
      <c r="J23" s="142"/>
    </row>
    <row r="24" spans="1:10" ht="15" thickBot="1" x14ac:dyDescent="0.35">
      <c r="A24" s="94"/>
      <c r="B24" s="383" t="s">
        <v>90</v>
      </c>
      <c r="C24" s="384">
        <v>1.05</v>
      </c>
      <c r="D24" s="385">
        <f>C24*(1+$D$30)</f>
        <v>1.05</v>
      </c>
      <c r="E24" s="386">
        <f>D24*(1+$D$30)</f>
        <v>1.05</v>
      </c>
      <c r="F24" s="386">
        <f>E24*(1+$D$30)</f>
        <v>1.05</v>
      </c>
      <c r="G24" s="386">
        <f>F24*(1+$D$30)</f>
        <v>1.05</v>
      </c>
      <c r="H24" s="387">
        <f>G24*(1+$D$30)</f>
        <v>1.05</v>
      </c>
      <c r="I24" s="142"/>
      <c r="J24" s="142"/>
    </row>
    <row r="25" spans="1:10" ht="16.2" thickBot="1" x14ac:dyDescent="0.35">
      <c r="A25" s="94"/>
      <c r="B25" s="141" t="s">
        <v>151</v>
      </c>
      <c r="C25" s="133">
        <f t="shared" ref="C25:H25" si="10">C23/C24</f>
        <v>3258128.3875968014</v>
      </c>
      <c r="D25" s="325">
        <f t="shared" si="10"/>
        <v>1891.794731975694</v>
      </c>
      <c r="E25" s="326">
        <f t="shared" si="10"/>
        <v>13305.562713273332</v>
      </c>
      <c r="F25" s="326">
        <f t="shared" si="10"/>
        <v>614997.83845404058</v>
      </c>
      <c r="G25" s="326">
        <f t="shared" si="10"/>
        <v>1103268.0757866614</v>
      </c>
      <c r="H25" s="327">
        <f t="shared" si="10"/>
        <v>1524665.1159108507</v>
      </c>
      <c r="I25" s="142"/>
      <c r="J25" s="142"/>
    </row>
    <row r="26" spans="1:10" ht="16.2" thickBot="1" x14ac:dyDescent="0.35">
      <c r="A26" s="173"/>
      <c r="B26" s="278"/>
      <c r="C26" s="300" t="s">
        <v>3</v>
      </c>
      <c r="D26" s="143"/>
      <c r="E26" s="144"/>
      <c r="F26" s="145"/>
      <c r="G26" s="93"/>
      <c r="H26" s="93"/>
      <c r="I26" s="94"/>
      <c r="J26" s="94"/>
    </row>
    <row r="27" spans="1:10" ht="22.8" thickBot="1" x14ac:dyDescent="0.35">
      <c r="A27" s="121" t="s">
        <v>99</v>
      </c>
      <c r="B27" s="277" t="s">
        <v>91</v>
      </c>
      <c r="C27" s="301" t="e">
        <f>#REF!*(#REF!/#REF!)+#REF!*(1-#REF!/100)*(#REF!/#REF!)+#REF!*(1-#REF!/100)*(#REF!/#REF!)+0*(#REF!/#REF!)</f>
        <v>#REF!</v>
      </c>
      <c r="D27" s="96" t="s">
        <v>3</v>
      </c>
      <c r="E27" s="92" t="s">
        <v>3</v>
      </c>
      <c r="F27" s="354"/>
      <c r="G27" s="354"/>
      <c r="H27" s="354"/>
      <c r="I27" s="353"/>
      <c r="J27" s="94"/>
    </row>
    <row r="28" spans="1:10" ht="15.6" x14ac:dyDescent="0.3">
      <c r="A28" s="146"/>
      <c r="B28" s="147" t="s">
        <v>92</v>
      </c>
      <c r="C28" s="148">
        <v>4.267E-2</v>
      </c>
      <c r="D28" s="302" t="s">
        <v>187</v>
      </c>
      <c r="E28" s="149"/>
      <c r="F28" s="94"/>
      <c r="G28" s="94"/>
      <c r="H28" s="94"/>
      <c r="I28" s="353"/>
      <c r="J28" s="94"/>
    </row>
    <row r="29" spans="1:10" ht="16.2" thickBot="1" x14ac:dyDescent="0.35">
      <c r="A29" s="146"/>
      <c r="B29" s="304" t="s">
        <v>93</v>
      </c>
      <c r="C29" s="151">
        <f>NPV(C28,D23:H23)</f>
        <v>2863612.9972186494</v>
      </c>
      <c r="D29" s="303" t="s">
        <v>94</v>
      </c>
      <c r="E29" s="150"/>
      <c r="F29" s="94"/>
      <c r="G29" s="94"/>
      <c r="H29" s="94"/>
      <c r="I29" s="353"/>
      <c r="J29" s="94"/>
    </row>
    <row r="30" spans="1:10" ht="15.6" x14ac:dyDescent="0.3">
      <c r="A30" s="146"/>
      <c r="B30" s="171"/>
      <c r="C30" s="172"/>
      <c r="D30" s="94"/>
      <c r="E30" s="94"/>
      <c r="F30" s="94"/>
      <c r="G30" s="94"/>
      <c r="H30" s="144"/>
      <c r="I30" s="353"/>
      <c r="J30" s="94"/>
    </row>
    <row r="31" spans="1:10" ht="15.6" x14ac:dyDescent="0.3">
      <c r="A31" s="176"/>
      <c r="B31" s="86"/>
      <c r="C31" s="175"/>
      <c r="D31" s="125"/>
      <c r="E31" s="125"/>
      <c r="F31" s="125"/>
      <c r="G31" s="125"/>
      <c r="H31" s="125"/>
      <c r="I31" s="125"/>
      <c r="J31" s="125"/>
    </row>
    <row r="32" spans="1:10" ht="15.6" x14ac:dyDescent="0.3">
      <c r="A32" s="176"/>
      <c r="B32" s="175"/>
      <c r="C32" s="505"/>
      <c r="D32" s="505"/>
      <c r="E32" s="505"/>
      <c r="F32" s="505"/>
      <c r="G32" s="505"/>
      <c r="H32" s="505"/>
      <c r="I32" s="110"/>
      <c r="J32" s="110"/>
    </row>
    <row r="33" spans="1:10" ht="15.6" x14ac:dyDescent="0.3">
      <c r="A33" s="176"/>
      <c r="B33" s="125"/>
      <c r="C33" s="110"/>
      <c r="D33" s="110"/>
      <c r="E33" s="110"/>
      <c r="F33" s="110"/>
      <c r="G33" s="110"/>
      <c r="H33" s="110"/>
      <c r="I33" s="110"/>
      <c r="J33" s="110"/>
    </row>
    <row r="34" spans="1:10" ht="15.6" x14ac:dyDescent="0.3">
      <c r="A34" s="177"/>
      <c r="B34" s="175"/>
      <c r="C34" s="505"/>
      <c r="D34" s="505"/>
      <c r="E34" s="505"/>
      <c r="F34" s="505"/>
      <c r="G34" s="505"/>
      <c r="H34" s="505"/>
      <c r="I34" s="110"/>
      <c r="J34" s="110"/>
    </row>
    <row r="35" spans="1:10" ht="15.6" x14ac:dyDescent="0.3">
      <c r="A35" s="96"/>
      <c r="B35" s="175"/>
      <c r="C35" s="110"/>
      <c r="D35" s="110"/>
      <c r="E35" s="110"/>
      <c r="F35" s="110"/>
      <c r="G35" s="110"/>
      <c r="H35" s="110"/>
      <c r="I35" s="110"/>
      <c r="J35" s="110"/>
    </row>
    <row r="36" spans="1:10" ht="15.6" x14ac:dyDescent="0.3">
      <c r="A36" s="146"/>
      <c r="B36" s="501"/>
      <c r="C36" s="110"/>
      <c r="D36" s="110"/>
      <c r="E36" s="110"/>
      <c r="F36" s="110"/>
      <c r="G36" s="110"/>
      <c r="H36" s="110"/>
      <c r="I36" s="168"/>
      <c r="J36" s="168"/>
    </row>
    <row r="37" spans="1:10" ht="15.6" x14ac:dyDescent="0.3">
      <c r="A37" s="146"/>
      <c r="B37" s="500"/>
      <c r="C37" s="110"/>
      <c r="D37" s="110"/>
      <c r="E37" s="110"/>
      <c r="F37" s="110"/>
      <c r="G37" s="110"/>
      <c r="H37" s="110"/>
      <c r="I37" s="179"/>
      <c r="J37" s="169"/>
    </row>
    <row r="38" spans="1:10" ht="15.6" x14ac:dyDescent="0.3">
      <c r="A38" s="93"/>
      <c r="B38" s="125"/>
      <c r="C38" s="110"/>
      <c r="D38" s="110"/>
      <c r="E38" s="110"/>
      <c r="F38" s="110"/>
      <c r="G38" s="110"/>
      <c r="H38" s="110"/>
      <c r="I38" s="94"/>
      <c r="J38" s="152"/>
    </row>
    <row r="39" spans="1:10" ht="15.6" x14ac:dyDescent="0.3">
      <c r="A39" s="173"/>
      <c r="B39" s="504"/>
      <c r="C39" s="505"/>
      <c r="D39" s="505"/>
      <c r="E39" s="505"/>
      <c r="F39" s="505"/>
      <c r="G39" s="505"/>
      <c r="H39" s="505"/>
      <c r="I39" s="160"/>
      <c r="J39" s="93"/>
    </row>
    <row r="40" spans="1:10" ht="15.6" x14ac:dyDescent="0.3">
      <c r="A40" s="93"/>
      <c r="B40" s="502"/>
      <c r="C40" s="110"/>
      <c r="D40" s="110"/>
      <c r="E40" s="110"/>
      <c r="F40" s="110"/>
      <c r="G40" s="110"/>
      <c r="H40" s="110"/>
      <c r="I40" s="143"/>
      <c r="J40" s="153"/>
    </row>
    <row r="41" spans="1:10" ht="15.6" x14ac:dyDescent="0.3">
      <c r="A41" s="93"/>
      <c r="B41" s="502"/>
      <c r="C41" s="110"/>
      <c r="D41" s="110"/>
      <c r="E41" s="110"/>
      <c r="F41" s="110"/>
      <c r="G41" s="110"/>
      <c r="H41" s="110"/>
      <c r="I41" s="143"/>
      <c r="J41" s="153"/>
    </row>
    <row r="42" spans="1:10" ht="15.6" x14ac:dyDescent="0.3">
      <c r="A42" s="93"/>
      <c r="B42" s="502"/>
      <c r="C42" s="110"/>
      <c r="D42" s="110"/>
      <c r="E42" s="110"/>
      <c r="F42" s="110"/>
      <c r="G42" s="110"/>
      <c r="H42" s="110"/>
      <c r="I42" s="143"/>
      <c r="J42" s="153"/>
    </row>
    <row r="43" spans="1:10" ht="15.6" x14ac:dyDescent="0.3">
      <c r="A43" s="93"/>
      <c r="B43" s="503"/>
      <c r="C43" s="505"/>
      <c r="D43" s="505"/>
      <c r="E43" s="505"/>
      <c r="F43" s="505"/>
      <c r="G43" s="505"/>
      <c r="H43" s="505"/>
      <c r="I43" s="143"/>
      <c r="J43" s="153"/>
    </row>
    <row r="44" spans="1:10" ht="15.6" x14ac:dyDescent="0.3">
      <c r="A44" s="93"/>
      <c r="B44" s="372"/>
      <c r="C44" s="180"/>
      <c r="D44" s="143"/>
      <c r="E44" s="143"/>
      <c r="F44" s="143"/>
      <c r="G44" s="143"/>
      <c r="H44" s="143"/>
      <c r="I44" s="143"/>
      <c r="J44" s="143"/>
    </row>
    <row r="45" spans="1:10" ht="16.2" x14ac:dyDescent="0.3">
      <c r="A45" s="93"/>
      <c r="B45" s="181"/>
      <c r="C45" s="182"/>
      <c r="D45" s="143"/>
      <c r="E45" s="143"/>
      <c r="F45" s="143"/>
      <c r="G45" s="143"/>
      <c r="H45" s="143"/>
      <c r="I45" s="143"/>
      <c r="J45" s="153"/>
    </row>
    <row r="46" spans="1:10" ht="16.2" x14ac:dyDescent="0.3">
      <c r="A46" s="93"/>
      <c r="B46" s="181"/>
      <c r="C46" s="183"/>
      <c r="D46" s="143"/>
      <c r="E46" s="143"/>
      <c r="F46" s="143"/>
      <c r="G46" s="143"/>
      <c r="H46" s="143"/>
      <c r="I46" s="143"/>
      <c r="J46" s="153"/>
    </row>
    <row r="47" spans="1:10" ht="15.6" x14ac:dyDescent="0.3">
      <c r="A47" s="93"/>
      <c r="B47" s="184"/>
      <c r="C47" s="180"/>
      <c r="D47" s="143"/>
      <c r="E47" s="143"/>
      <c r="F47" s="143"/>
      <c r="G47" s="143"/>
      <c r="H47" s="143"/>
      <c r="I47" s="143"/>
      <c r="J47" s="143"/>
    </row>
    <row r="48" spans="1:10" ht="15.6" x14ac:dyDescent="0.3">
      <c r="A48" s="173"/>
      <c r="B48" s="178"/>
      <c r="C48" s="174"/>
      <c r="D48" s="124"/>
      <c r="E48" s="124"/>
      <c r="F48" s="124"/>
      <c r="G48" s="124"/>
      <c r="H48" s="124"/>
      <c r="I48" s="124"/>
      <c r="J48" s="124"/>
    </row>
    <row r="49" spans="1:10" ht="15.6" x14ac:dyDescent="0.3">
      <c r="A49" s="146"/>
      <c r="B49" s="146"/>
      <c r="C49" s="86"/>
      <c r="D49" s="154"/>
      <c r="E49" s="154"/>
      <c r="F49" s="154"/>
      <c r="G49" s="154"/>
      <c r="H49" s="154"/>
      <c r="I49" s="154"/>
      <c r="J49" s="154"/>
    </row>
    <row r="50" spans="1:10" ht="16.2" x14ac:dyDescent="0.3">
      <c r="A50" s="146"/>
      <c r="B50" s="185"/>
      <c r="C50" s="186"/>
      <c r="D50" s="155"/>
      <c r="E50" s="155"/>
      <c r="F50" s="155"/>
      <c r="G50" s="155"/>
      <c r="H50" s="155"/>
      <c r="I50" s="155"/>
      <c r="J50" s="155"/>
    </row>
    <row r="51" spans="1:10" ht="15.6" x14ac:dyDescent="0.3">
      <c r="A51" s="146"/>
      <c r="B51" s="146"/>
      <c r="C51" s="85"/>
      <c r="D51" s="154"/>
      <c r="E51" s="154"/>
      <c r="F51" s="154"/>
      <c r="G51" s="154"/>
      <c r="H51" s="154"/>
      <c r="I51" s="154"/>
      <c r="J51" s="154"/>
    </row>
    <row r="52" spans="1:10" ht="15.6" x14ac:dyDescent="0.3">
      <c r="A52" s="187"/>
      <c r="B52" s="134"/>
      <c r="C52" s="188"/>
      <c r="D52" s="189"/>
      <c r="E52" s="190"/>
      <c r="F52" s="191"/>
      <c r="G52" s="191"/>
      <c r="H52" s="156"/>
      <c r="I52" s="156"/>
      <c r="J52" s="156"/>
    </row>
    <row r="53" spans="1:10" ht="15.6" x14ac:dyDescent="0.3">
      <c r="A53" s="545"/>
      <c r="B53" s="545"/>
      <c r="C53" s="545"/>
      <c r="D53" s="189"/>
      <c r="E53" s="190"/>
      <c r="F53" s="191"/>
      <c r="G53" s="191"/>
      <c r="H53" s="156"/>
      <c r="I53" s="156"/>
      <c r="J53" s="156"/>
    </row>
    <row r="54" spans="1:10" ht="34.799999999999997" x14ac:dyDescent="0.3">
      <c r="A54" s="192"/>
      <c r="B54" s="193"/>
      <c r="C54" s="194"/>
      <c r="D54" s="189"/>
      <c r="E54" s="190"/>
      <c r="F54" s="191"/>
      <c r="G54" s="191"/>
      <c r="H54" s="156"/>
      <c r="I54" s="156"/>
      <c r="J54" s="156"/>
    </row>
    <row r="55" spans="1:10" ht="15.6" x14ac:dyDescent="0.3">
      <c r="A55" s="195"/>
      <c r="B55" s="146"/>
      <c r="C55" s="85"/>
      <c r="D55" s="85"/>
      <c r="E55" s="85"/>
      <c r="F55" s="85"/>
      <c r="G55" s="85"/>
      <c r="H55" s="85"/>
      <c r="I55" s="85"/>
      <c r="J55" s="85"/>
    </row>
    <row r="56" spans="1:10" ht="15.6" x14ac:dyDescent="0.3">
      <c r="A56" s="196"/>
      <c r="B56" s="146"/>
      <c r="C56" s="146"/>
      <c r="D56" s="158"/>
      <c r="E56" s="158"/>
      <c r="F56" s="158"/>
      <c r="G56" s="158"/>
      <c r="H56" s="158"/>
      <c r="I56" s="158"/>
      <c r="J56" s="158"/>
    </row>
    <row r="57" spans="1:10" ht="15.6" x14ac:dyDescent="0.3">
      <c r="A57" s="196"/>
      <c r="B57" s="146"/>
      <c r="C57" s="146"/>
      <c r="D57" s="158"/>
      <c r="E57" s="158"/>
      <c r="F57" s="158"/>
      <c r="G57" s="158"/>
      <c r="H57" s="158"/>
      <c r="I57" s="158"/>
      <c r="J57" s="158"/>
    </row>
    <row r="58" spans="1:10" ht="15.6" x14ac:dyDescent="0.3">
      <c r="A58" s="146"/>
      <c r="B58" s="146"/>
      <c r="C58" s="146"/>
      <c r="D58" s="159"/>
      <c r="E58" s="159"/>
      <c r="F58" s="159"/>
      <c r="G58" s="159"/>
      <c r="H58" s="159"/>
      <c r="I58" s="159"/>
      <c r="J58" s="159"/>
    </row>
    <row r="59" spans="1:10" ht="15.6" x14ac:dyDescent="0.3">
      <c r="A59" s="146"/>
      <c r="B59" s="146"/>
      <c r="C59" s="197"/>
      <c r="D59" s="86"/>
      <c r="E59" s="198"/>
      <c r="F59" s="86"/>
      <c r="G59" s="86"/>
      <c r="H59" s="86"/>
      <c r="I59" s="94"/>
      <c r="J59" s="94" t="s">
        <v>3</v>
      </c>
    </row>
    <row r="60" spans="1:10" ht="15.6" x14ac:dyDescent="0.3">
      <c r="A60" s="146"/>
      <c r="B60" s="146"/>
      <c r="C60" s="197"/>
      <c r="D60" s="86"/>
      <c r="E60" s="160"/>
      <c r="F60" s="86"/>
      <c r="G60" s="86"/>
      <c r="H60" s="86"/>
      <c r="I60" s="86"/>
      <c r="J60" s="86"/>
    </row>
    <row r="61" spans="1:10" ht="15.6" x14ac:dyDescent="0.3">
      <c r="A61" s="146"/>
      <c r="B61" s="86"/>
      <c r="C61" s="146"/>
      <c r="D61" s="86"/>
      <c r="E61" s="160"/>
      <c r="F61" s="160"/>
      <c r="G61" s="160"/>
      <c r="H61" s="160"/>
      <c r="I61" s="160"/>
      <c r="J61" s="160"/>
    </row>
    <row r="62" spans="1:10" ht="15.6" x14ac:dyDescent="0.3">
      <c r="A62" s="146"/>
      <c r="B62" s="86"/>
      <c r="C62" s="57"/>
      <c r="D62" s="57"/>
      <c r="E62" s="57"/>
      <c r="F62" s="57"/>
      <c r="G62" s="57"/>
      <c r="H62" s="57"/>
      <c r="I62" s="157"/>
      <c r="J62" s="157"/>
    </row>
    <row r="63" spans="1:10" ht="15.6" x14ac:dyDescent="0.3">
      <c r="A63" s="195"/>
      <c r="B63" s="146"/>
      <c r="C63" s="199"/>
      <c r="D63" s="160"/>
      <c r="E63" s="86"/>
      <c r="F63" s="86"/>
      <c r="G63" s="86"/>
      <c r="H63" s="86"/>
      <c r="I63" s="94"/>
      <c r="J63" s="94"/>
    </row>
    <row r="64" spans="1:10" ht="15.6" x14ac:dyDescent="0.3">
      <c r="A64" s="146"/>
      <c r="B64" s="57"/>
      <c r="C64" s="88"/>
      <c r="D64" s="162"/>
      <c r="E64" s="200"/>
      <c r="F64" s="57"/>
      <c r="G64" s="57"/>
      <c r="H64" s="57"/>
      <c r="I64" s="57"/>
      <c r="J64" s="57"/>
    </row>
    <row r="65" spans="1:10" ht="15.6" x14ac:dyDescent="0.3">
      <c r="A65" s="146"/>
      <c r="B65" s="146"/>
      <c r="C65" s="88"/>
      <c r="D65" s="161"/>
      <c r="E65" s="161"/>
      <c r="F65" s="161"/>
      <c r="G65" s="161"/>
      <c r="H65" s="161"/>
      <c r="I65" s="161"/>
      <c r="J65" s="161"/>
    </row>
    <row r="66" spans="1:10" ht="15.6" x14ac:dyDescent="0.3">
      <c r="A66" s="146"/>
      <c r="B66" s="201"/>
      <c r="C66" s="57"/>
      <c r="D66" s="162"/>
      <c r="E66" s="162"/>
      <c r="F66" s="162"/>
      <c r="G66" s="162"/>
      <c r="H66" s="162"/>
      <c r="I66" s="162"/>
      <c r="J66" s="162"/>
    </row>
    <row r="67" spans="1:10" ht="15.6" x14ac:dyDescent="0.3">
      <c r="A67" s="146"/>
      <c r="B67" s="86"/>
      <c r="C67" s="202"/>
      <c r="D67" s="163"/>
      <c r="E67" s="163"/>
      <c r="F67" s="163"/>
      <c r="G67" s="163"/>
      <c r="H67" s="163"/>
      <c r="I67" s="163"/>
      <c r="J67" s="163"/>
    </row>
    <row r="68" spans="1:10" ht="15.6" x14ac:dyDescent="0.3">
      <c r="A68" s="146"/>
      <c r="B68" s="203"/>
      <c r="C68" s="204"/>
      <c r="D68" s="164"/>
      <c r="E68" s="164"/>
      <c r="F68" s="164"/>
      <c r="G68" s="164"/>
      <c r="H68" s="164"/>
      <c r="I68" s="164"/>
      <c r="J68" s="164"/>
    </row>
    <row r="69" spans="1:10" ht="15.6" x14ac:dyDescent="0.3">
      <c r="A69" s="146"/>
      <c r="B69" s="86"/>
      <c r="C69" s="146"/>
      <c r="D69" s="86"/>
      <c r="E69" s="86"/>
      <c r="F69" s="86"/>
      <c r="G69" s="86"/>
      <c r="H69" s="86"/>
      <c r="I69" s="86"/>
      <c r="J69" s="86"/>
    </row>
    <row r="70" spans="1:10" ht="15.6" x14ac:dyDescent="0.3">
      <c r="A70" s="146"/>
      <c r="B70" s="86"/>
      <c r="C70" s="85"/>
      <c r="D70" s="85"/>
      <c r="E70" s="85"/>
      <c r="F70" s="85"/>
      <c r="G70" s="85"/>
      <c r="H70" s="85"/>
      <c r="I70" s="85"/>
      <c r="J70" s="85"/>
    </row>
    <row r="71" spans="1:10" ht="15.6" x14ac:dyDescent="0.3">
      <c r="A71" s="146"/>
      <c r="B71" s="146"/>
      <c r="C71" s="146"/>
      <c r="D71" s="165"/>
      <c r="E71" s="165"/>
      <c r="F71" s="165"/>
      <c r="G71" s="165"/>
      <c r="H71" s="165"/>
      <c r="I71" s="165"/>
      <c r="J71" s="165"/>
    </row>
    <row r="72" spans="1:10" ht="15.6" x14ac:dyDescent="0.3">
      <c r="A72" s="146"/>
      <c r="B72" s="86"/>
      <c r="C72" s="146"/>
      <c r="D72" s="165"/>
      <c r="E72" s="165"/>
      <c r="F72" s="165"/>
      <c r="G72" s="165"/>
      <c r="H72" s="165"/>
      <c r="I72" s="165"/>
      <c r="J72" s="165"/>
    </row>
    <row r="73" spans="1:10" ht="15.6" x14ac:dyDescent="0.3">
      <c r="A73" s="146"/>
      <c r="B73" s="146"/>
      <c r="C73" s="146"/>
      <c r="D73" s="165"/>
      <c r="E73" s="165"/>
      <c r="F73" s="165"/>
      <c r="G73" s="165"/>
      <c r="H73" s="165"/>
      <c r="I73" s="165"/>
      <c r="J73" s="165"/>
    </row>
    <row r="74" spans="1:10" ht="15.6" x14ac:dyDescent="0.3">
      <c r="A74" s="146"/>
      <c r="B74" s="86"/>
      <c r="C74" s="146"/>
      <c r="D74" s="86"/>
      <c r="E74" s="86"/>
      <c r="F74" s="86"/>
      <c r="G74" s="86"/>
      <c r="H74" s="86"/>
      <c r="I74" s="86"/>
      <c r="J74" s="86"/>
    </row>
    <row r="75" spans="1:10" ht="15.6" x14ac:dyDescent="0.3">
      <c r="A75" s="146"/>
      <c r="B75" s="205"/>
      <c r="C75" s="146"/>
      <c r="D75" s="166"/>
      <c r="E75" s="166"/>
      <c r="F75" s="166"/>
      <c r="G75" s="166"/>
      <c r="H75" s="166"/>
      <c r="I75" s="166"/>
      <c r="J75" s="166"/>
    </row>
    <row r="76" spans="1:10" ht="16.2" x14ac:dyDescent="0.3">
      <c r="A76" s="146"/>
      <c r="B76" s="206"/>
      <c r="C76" s="207"/>
      <c r="D76" s="167"/>
      <c r="E76" s="167"/>
      <c r="F76" s="167"/>
      <c r="G76" s="167"/>
      <c r="H76" s="167"/>
      <c r="I76" s="167"/>
      <c r="J76" s="167"/>
    </row>
    <row r="77" spans="1:10" ht="15.6" x14ac:dyDescent="0.3">
      <c r="A77" s="146"/>
      <c r="B77" s="546"/>
      <c r="C77" s="546"/>
      <c r="D77" s="158"/>
      <c r="E77" s="158"/>
      <c r="F77" s="158"/>
      <c r="G77" s="158"/>
      <c r="H77" s="158"/>
      <c r="I77" s="158"/>
      <c r="J77" s="158"/>
    </row>
    <row r="78" spans="1:10" ht="15.6" x14ac:dyDescent="0.3">
      <c r="A78" s="146"/>
      <c r="B78" s="146"/>
      <c r="C78" s="166"/>
      <c r="D78" s="86"/>
      <c r="E78" s="86"/>
      <c r="F78" s="86"/>
      <c r="G78" s="86"/>
      <c r="H78" s="86"/>
      <c r="I78" s="94"/>
      <c r="J78" s="94"/>
    </row>
    <row r="79" spans="1:10" ht="15.6" x14ac:dyDescent="0.3">
      <c r="A79" s="146"/>
      <c r="B79" s="146"/>
      <c r="C79" s="166"/>
      <c r="D79" s="86"/>
      <c r="E79" s="86"/>
      <c r="F79" s="86"/>
      <c r="G79" s="86"/>
      <c r="H79" s="86"/>
      <c r="I79" s="94"/>
      <c r="J79" s="94"/>
    </row>
    <row r="80" spans="1:10" ht="15.6" x14ac:dyDescent="0.3">
      <c r="A80" s="170"/>
      <c r="B80" s="170"/>
      <c r="C80" s="170"/>
      <c r="D80" s="170"/>
      <c r="E80" s="170"/>
      <c r="F80" s="170"/>
      <c r="G80" s="170"/>
      <c r="H80" s="170"/>
    </row>
    <row r="81" spans="1:8" ht="15.6" x14ac:dyDescent="0.3">
      <c r="A81" s="170"/>
      <c r="B81" s="170"/>
      <c r="C81" s="170"/>
      <c r="D81" s="170"/>
      <c r="E81" s="170"/>
      <c r="F81" s="170"/>
      <c r="G81" s="170"/>
      <c r="H81" s="170"/>
    </row>
    <row r="82" spans="1:8" ht="15.6" x14ac:dyDescent="0.3">
      <c r="A82" s="170"/>
      <c r="B82" s="170"/>
      <c r="C82" s="170"/>
      <c r="D82" s="170"/>
      <c r="E82" s="170"/>
      <c r="F82" s="170"/>
      <c r="G82" s="170"/>
      <c r="H82" s="170"/>
    </row>
    <row r="83" spans="1:8" ht="15.6" x14ac:dyDescent="0.3">
      <c r="A83" s="170"/>
      <c r="B83" s="170"/>
      <c r="C83" s="170"/>
      <c r="D83" s="170"/>
      <c r="E83" s="170"/>
      <c r="F83" s="170"/>
      <c r="G83" s="170"/>
      <c r="H83" s="170"/>
    </row>
    <row r="84" spans="1:8" ht="15.6" x14ac:dyDescent="0.3">
      <c r="A84" s="170"/>
      <c r="B84" s="170"/>
      <c r="C84" s="170"/>
      <c r="D84" s="170"/>
      <c r="E84" s="170"/>
      <c r="F84" s="170"/>
      <c r="G84" s="170"/>
      <c r="H84" s="170"/>
    </row>
    <row r="85" spans="1:8" ht="15.6" x14ac:dyDescent="0.3">
      <c r="A85" s="170"/>
      <c r="B85" s="170"/>
      <c r="C85" s="170"/>
      <c r="D85" s="170"/>
      <c r="E85" s="170"/>
      <c r="F85" s="170"/>
      <c r="G85" s="170"/>
      <c r="H85" s="170"/>
    </row>
    <row r="86" spans="1:8" ht="15.6" x14ac:dyDescent="0.3">
      <c r="A86" s="170"/>
      <c r="B86" s="170"/>
      <c r="C86" s="170"/>
      <c r="D86" s="170"/>
      <c r="E86" s="170"/>
      <c r="F86" s="170"/>
      <c r="G86" s="170"/>
      <c r="H86" s="170"/>
    </row>
    <row r="87" spans="1:8" ht="15.6" x14ac:dyDescent="0.3">
      <c r="A87" s="170"/>
      <c r="B87" s="170"/>
      <c r="C87" s="170"/>
      <c r="D87" s="170"/>
      <c r="E87" s="170"/>
      <c r="F87" s="170"/>
      <c r="G87" s="170"/>
      <c r="H87" s="170"/>
    </row>
    <row r="88" spans="1:8" ht="15.6" x14ac:dyDescent="0.3">
      <c r="A88" s="170"/>
      <c r="B88" s="170"/>
      <c r="C88" s="170"/>
      <c r="D88" s="170"/>
      <c r="E88" s="170"/>
      <c r="F88" s="170"/>
      <c r="G88" s="170"/>
      <c r="H88" s="170"/>
    </row>
    <row r="89" spans="1:8" ht="15.6" x14ac:dyDescent="0.3">
      <c r="A89" s="170"/>
      <c r="B89" s="170"/>
      <c r="C89" s="170"/>
      <c r="D89" s="170"/>
      <c r="E89" s="170"/>
      <c r="F89" s="170"/>
      <c r="G89" s="170"/>
      <c r="H89" s="170"/>
    </row>
    <row r="90" spans="1:8" ht="15.6" x14ac:dyDescent="0.3">
      <c r="A90" s="170"/>
      <c r="B90" s="170"/>
      <c r="C90" s="170"/>
      <c r="D90" s="170"/>
      <c r="E90" s="170"/>
      <c r="F90" s="170"/>
      <c r="G90" s="170"/>
      <c r="H90" s="170"/>
    </row>
    <row r="91" spans="1:8" ht="15.6" x14ac:dyDescent="0.3">
      <c r="A91" s="170"/>
      <c r="B91" s="170"/>
      <c r="C91" s="170"/>
      <c r="D91" s="170"/>
      <c r="E91" s="170"/>
      <c r="F91" s="170"/>
      <c r="G91" s="170"/>
      <c r="H91" s="170"/>
    </row>
    <row r="92" spans="1:8" ht="15.6" x14ac:dyDescent="0.3">
      <c r="A92" s="170"/>
      <c r="B92" s="170"/>
      <c r="C92" s="170"/>
      <c r="D92" s="170"/>
      <c r="E92" s="170"/>
      <c r="F92" s="170"/>
      <c r="G92" s="170"/>
      <c r="H92" s="170"/>
    </row>
    <row r="93" spans="1:8" ht="15.6" x14ac:dyDescent="0.3">
      <c r="A93" s="170"/>
      <c r="B93" s="170"/>
      <c r="C93" s="170"/>
      <c r="D93" s="170"/>
      <c r="E93" s="170"/>
      <c r="F93" s="170"/>
      <c r="G93" s="170"/>
      <c r="H93" s="170"/>
    </row>
    <row r="94" spans="1:8" ht="15.6" x14ac:dyDescent="0.3">
      <c r="A94" s="170"/>
      <c r="B94" s="170"/>
      <c r="C94" s="170"/>
      <c r="D94" s="170"/>
      <c r="E94" s="170"/>
      <c r="F94" s="170"/>
      <c r="G94" s="170"/>
      <c r="H94" s="170"/>
    </row>
    <row r="95" spans="1:8" ht="15.6" x14ac:dyDescent="0.3">
      <c r="A95" s="170"/>
      <c r="B95" s="170"/>
      <c r="C95" s="170"/>
      <c r="D95" s="170"/>
      <c r="E95" s="170"/>
      <c r="F95" s="170"/>
      <c r="G95" s="170"/>
      <c r="H95" s="170"/>
    </row>
    <row r="96" spans="1:8" ht="15.6" x14ac:dyDescent="0.3">
      <c r="A96" s="170"/>
      <c r="B96" s="170"/>
      <c r="C96" s="170"/>
      <c r="D96" s="170"/>
      <c r="E96" s="170"/>
      <c r="F96" s="170"/>
      <c r="G96" s="170"/>
      <c r="H96" s="170"/>
    </row>
    <row r="97" spans="1:8" ht="15.6" x14ac:dyDescent="0.3">
      <c r="A97" s="170"/>
      <c r="B97" s="170"/>
      <c r="C97" s="170"/>
      <c r="D97" s="170"/>
      <c r="E97" s="170"/>
      <c r="F97" s="170"/>
      <c r="G97" s="170"/>
      <c r="H97" s="170"/>
    </row>
    <row r="98" spans="1:8" ht="15.6" x14ac:dyDescent="0.3">
      <c r="A98" s="170"/>
      <c r="B98" s="170"/>
      <c r="C98" s="170"/>
      <c r="D98" s="170"/>
      <c r="E98" s="170"/>
      <c r="F98" s="170"/>
      <c r="G98" s="170"/>
      <c r="H98" s="170"/>
    </row>
    <row r="99" spans="1:8" ht="15.6" x14ac:dyDescent="0.3">
      <c r="A99" s="170"/>
      <c r="B99" s="170"/>
      <c r="C99" s="170"/>
      <c r="D99" s="170"/>
      <c r="E99" s="170"/>
      <c r="F99" s="170"/>
      <c r="G99" s="170"/>
      <c r="H99" s="170"/>
    </row>
    <row r="100" spans="1:8" ht="15.6" x14ac:dyDescent="0.3">
      <c r="A100" s="170"/>
      <c r="B100" s="170"/>
      <c r="C100" s="170"/>
      <c r="D100" s="170"/>
      <c r="E100" s="170"/>
      <c r="F100" s="170"/>
      <c r="G100" s="170"/>
      <c r="H100" s="170"/>
    </row>
    <row r="101" spans="1:8" ht="15.6" x14ac:dyDescent="0.3">
      <c r="A101" s="170"/>
      <c r="B101" s="170"/>
      <c r="C101" s="170"/>
      <c r="D101" s="170"/>
      <c r="E101" s="170"/>
      <c r="F101" s="170"/>
      <c r="G101" s="170"/>
      <c r="H101" s="170"/>
    </row>
    <row r="102" spans="1:8" ht="15.6" x14ac:dyDescent="0.3">
      <c r="A102" s="170"/>
      <c r="B102" s="170"/>
      <c r="C102" s="170"/>
      <c r="D102" s="170"/>
      <c r="E102" s="170"/>
      <c r="F102" s="170"/>
      <c r="G102" s="170"/>
      <c r="H102" s="170"/>
    </row>
  </sheetData>
  <mergeCells count="2">
    <mergeCell ref="A53:C53"/>
    <mergeCell ref="B77:C77"/>
  </mergeCells>
  <conditionalFormatting sqref="A3:A4">
    <cfRule type="expression" dxfId="3" priority="7">
      <formula>#REF!="Canone di concessione"</formula>
    </cfRule>
  </conditionalFormatting>
  <conditionalFormatting sqref="C25:H25 C16:H16 C18:H18 D17:H17 C22:H23 D19:H21">
    <cfRule type="cellIs" dxfId="2" priority="2" operator="lessThan">
      <formula>0</formula>
    </cfRule>
  </conditionalFormatting>
  <conditionalFormatting sqref="D29 C29:C30 C47 C9:J9 B43">
    <cfRule type="cellIs" dxfId="1" priority="6" operator="lessThan">
      <formula>0</formula>
    </cfRule>
  </conditionalFormatting>
  <conditionalFormatting sqref="C15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83D5C-9E8D-42BA-98B1-C1C392549451}">
  <dimension ref="A1:J18"/>
  <sheetViews>
    <sheetView workbookViewId="0">
      <selection activeCell="J2" sqref="J2:J7"/>
    </sheetView>
  </sheetViews>
  <sheetFormatPr defaultRowHeight="14.4" x14ac:dyDescent="0.3"/>
  <cols>
    <col min="1" max="1" width="6.6640625" customWidth="1"/>
    <col min="2" max="2" width="57.6640625" bestFit="1" customWidth="1"/>
    <col min="3" max="7" width="18.6640625" customWidth="1"/>
    <col min="10" max="10" width="10.5546875" bestFit="1" customWidth="1"/>
  </cols>
  <sheetData>
    <row r="1" spans="1:10" ht="30" customHeight="1" thickBot="1" x14ac:dyDescent="0.35">
      <c r="A1" s="332">
        <v>5</v>
      </c>
      <c r="B1" s="333" t="s">
        <v>135</v>
      </c>
    </row>
    <row r="2" spans="1:10" ht="16.2" thickBot="1" x14ac:dyDescent="0.35">
      <c r="A2" s="208"/>
      <c r="B2" s="209" t="s">
        <v>95</v>
      </c>
      <c r="C2" s="290" t="s">
        <v>79</v>
      </c>
      <c r="D2" s="291">
        <v>2025</v>
      </c>
      <c r="E2" s="291">
        <v>2026</v>
      </c>
      <c r="F2" s="291">
        <v>2027</v>
      </c>
      <c r="G2" s="292">
        <v>2028</v>
      </c>
    </row>
    <row r="3" spans="1:10" ht="15.6" x14ac:dyDescent="0.3">
      <c r="A3" s="279" t="s">
        <v>66</v>
      </c>
      <c r="B3" s="287" t="s">
        <v>78</v>
      </c>
      <c r="C3" s="270">
        <f>'2 - Spec. ricavi e costi'!C14+'2 - Spec. ricavi e costi'!C15</f>
        <v>0</v>
      </c>
      <c r="D3" s="271">
        <f>'2 - Spec. ricavi e costi'!D14+'2 - Spec. ricavi e costi'!D15</f>
        <v>0</v>
      </c>
      <c r="E3" s="271">
        <f>'2 - Spec. ricavi e costi'!E14+'2 - Spec. ricavi e costi'!E15</f>
        <v>0</v>
      </c>
      <c r="F3" s="271">
        <f>'2 - Spec. ricavi e costi'!F14+'2 - Spec. ricavi e costi'!F15</f>
        <v>0</v>
      </c>
      <c r="G3" s="272">
        <f>'2 - Spec. ricavi e costi'!G14+'2 - Spec. ricavi e costi'!G15</f>
        <v>0</v>
      </c>
      <c r="J3" s="365"/>
    </row>
    <row r="4" spans="1:10" ht="15.6" x14ac:dyDescent="0.3">
      <c r="A4" s="279" t="s">
        <v>66</v>
      </c>
      <c r="B4" s="287" t="s">
        <v>132</v>
      </c>
      <c r="C4" s="273">
        <f>'2 - Spec. ricavi e costi'!C13</f>
        <v>422667.96851086494</v>
      </c>
      <c r="D4" s="268">
        <f>'2 - Spec. ricavi e costi'!D13</f>
        <v>422667.96851086494</v>
      </c>
      <c r="E4" s="268">
        <f>'2 - Spec. ricavi e costi'!E13</f>
        <v>422667.96851086494</v>
      </c>
      <c r="F4" s="268">
        <f>'2 - Spec. ricavi e costi'!F13</f>
        <v>422667.96851086494</v>
      </c>
      <c r="G4" s="274">
        <f>'2 - Spec. ricavi e costi'!G13</f>
        <v>422667.96851086494</v>
      </c>
      <c r="J4" s="365"/>
    </row>
    <row r="5" spans="1:10" ht="15.6" x14ac:dyDescent="0.3">
      <c r="A5" s="279" t="s">
        <v>66</v>
      </c>
      <c r="B5" s="288" t="s">
        <v>114</v>
      </c>
      <c r="C5" s="138">
        <f>SUM(('2 - Spec. ricavi e costi'!C5):('2 - Spec. ricavi e costi'!C11))</f>
        <v>689074.31273644394</v>
      </c>
      <c r="D5" s="139">
        <f>SUM(('2 - Spec. ricavi e costi'!D5):('2 - Spec. ricavi e costi'!D11))</f>
        <v>486405.39722572506</v>
      </c>
      <c r="E5" s="139">
        <f>SUM(('2 - Spec. ricavi e costi'!E5):('2 - Spec. ricavi e costi'!E11))</f>
        <v>486405.39722572506</v>
      </c>
      <c r="F5" s="139">
        <f>SUM(('2 - Spec. ricavi e costi'!F5):('2 - Spec. ricavi e costi'!F11))</f>
        <v>486405.39722572506</v>
      </c>
      <c r="G5" s="140">
        <f>SUM(('2 - Spec. ricavi e costi'!G5):('2 - Spec. ricavi e costi'!G11))</f>
        <v>486405.39722572506</v>
      </c>
      <c r="J5" s="365"/>
    </row>
    <row r="6" spans="1:10" ht="15.6" x14ac:dyDescent="0.3">
      <c r="A6" s="279" t="s">
        <v>64</v>
      </c>
      <c r="B6" s="288" t="s">
        <v>115</v>
      </c>
      <c r="C6" s="273">
        <f>'2 - Spec. ricavi e costi'!C33</f>
        <v>1214554.8289364036</v>
      </c>
      <c r="D6" s="268">
        <f>'2 - Spec. ricavi e costi'!D33</f>
        <v>828406.3498374616</v>
      </c>
      <c r="E6" s="268">
        <f>'2 - Spec. ricavi e costi'!E33</f>
        <v>828982.5998374616</v>
      </c>
      <c r="F6" s="268">
        <f>'2 - Spec. ricavi e costi'!F33</f>
        <v>720479.03108746163</v>
      </c>
      <c r="G6" s="274">
        <f>'2 - Spec. ricavi e costi'!G33</f>
        <v>720515.64449371165</v>
      </c>
      <c r="J6" s="365"/>
    </row>
    <row r="7" spans="1:10" ht="15.6" x14ac:dyDescent="0.3">
      <c r="A7" s="279" t="s">
        <v>64</v>
      </c>
      <c r="B7" s="288" t="s">
        <v>83</v>
      </c>
      <c r="C7" s="275">
        <f>'2 - Spec. ricavi e costi'!C61</f>
        <v>32553.5</v>
      </c>
      <c r="D7" s="269">
        <f>'2 - Spec. ricavi e costi'!D61</f>
        <v>28977.3</v>
      </c>
      <c r="E7" s="269">
        <f>'2 - Spec. ricavi e costi'!E61</f>
        <v>29121.93</v>
      </c>
      <c r="F7" s="269">
        <f>'2 - Spec. ricavi e costi'!F61</f>
        <v>29273.68965</v>
      </c>
      <c r="G7" s="276">
        <f>'2 - Spec. ricavi e costi'!G61</f>
        <v>23603.541881624991</v>
      </c>
      <c r="J7" s="365"/>
    </row>
    <row r="8" spans="1:10" ht="16.2" thickBot="1" x14ac:dyDescent="0.35">
      <c r="A8" s="279" t="s">
        <v>64</v>
      </c>
      <c r="B8" s="289" t="s">
        <v>116</v>
      </c>
      <c r="C8" s="294">
        <v>0</v>
      </c>
      <c r="D8" s="295">
        <v>0</v>
      </c>
      <c r="E8" s="295">
        <v>0</v>
      </c>
      <c r="F8" s="295">
        <v>0</v>
      </c>
      <c r="G8" s="296">
        <v>0</v>
      </c>
    </row>
    <row r="9" spans="1:10" ht="16.2" thickBot="1" x14ac:dyDescent="0.35">
      <c r="A9" s="213" t="s">
        <v>3</v>
      </c>
      <c r="B9" s="293" t="s">
        <v>121</v>
      </c>
      <c r="C9" s="425">
        <f>C3+C4+C5-C6-C7-C8</f>
        <v>-135366.04768909467</v>
      </c>
      <c r="D9" s="426">
        <f>D3+D4+D5-D6-D7-D8</f>
        <v>51689.715899128394</v>
      </c>
      <c r="E9" s="426">
        <f>E3+E4+E5-E6-E7-E8</f>
        <v>50968.835899128397</v>
      </c>
      <c r="F9" s="426">
        <f>F3+F4+F5-F6-F7-F8</f>
        <v>159320.64499912836</v>
      </c>
      <c r="G9" s="427">
        <f>G3+G4+G5-G6-G7-G8</f>
        <v>164954.17936125337</v>
      </c>
    </row>
    <row r="10" spans="1:10" ht="16.2" thickBot="1" x14ac:dyDescent="0.35">
      <c r="A10" s="279" t="s">
        <v>64</v>
      </c>
      <c r="B10" s="287" t="s">
        <v>97</v>
      </c>
      <c r="C10" s="374">
        <f>'6 - Dettaglio comp. ammort.'!F7</f>
        <v>12265.070000000002</v>
      </c>
      <c r="D10" s="375">
        <f>'6 - Dettaglio comp. ammort.'!G7</f>
        <v>12265.070000000002</v>
      </c>
      <c r="E10" s="375">
        <f>'6 - Dettaglio comp. ammort.'!H7</f>
        <v>12265.070000000002</v>
      </c>
      <c r="F10" s="375">
        <f>'6 - Dettaglio comp. ammort.'!I7</f>
        <v>12265.070000000002</v>
      </c>
      <c r="G10" s="376">
        <f>'6 - Dettaglio comp. ammort.'!J7</f>
        <v>12265.070000000002</v>
      </c>
    </row>
    <row r="11" spans="1:10" ht="16.2" thickBot="1" x14ac:dyDescent="0.35">
      <c r="A11" s="213"/>
      <c r="B11" s="293" t="s">
        <v>100</v>
      </c>
      <c r="C11" s="368">
        <f>C9-C10</f>
        <v>-147631.11768909468</v>
      </c>
      <c r="D11" s="428">
        <f t="shared" ref="D11:G11" si="0">D9-D10</f>
        <v>39424.645899128394</v>
      </c>
      <c r="E11" s="428">
        <f t="shared" si="0"/>
        <v>38703.765899128397</v>
      </c>
      <c r="F11" s="428">
        <f t="shared" si="0"/>
        <v>147055.57499912835</v>
      </c>
      <c r="G11" s="429">
        <f t="shared" si="0"/>
        <v>152689.10936125336</v>
      </c>
    </row>
    <row r="12" spans="1:10" ht="16.2" thickBot="1" x14ac:dyDescent="0.35">
      <c r="A12" s="279" t="s">
        <v>64</v>
      </c>
      <c r="B12" s="211" t="s">
        <v>116</v>
      </c>
      <c r="C12" s="294">
        <v>0</v>
      </c>
      <c r="D12" s="295">
        <v>0</v>
      </c>
      <c r="E12" s="295">
        <v>0</v>
      </c>
      <c r="F12" s="295">
        <v>0</v>
      </c>
      <c r="G12" s="296">
        <v>0</v>
      </c>
      <c r="H12" s="318"/>
    </row>
    <row r="13" spans="1:10" ht="16.2" thickBot="1" x14ac:dyDescent="0.35">
      <c r="A13" s="213" t="s">
        <v>3</v>
      </c>
      <c r="B13" s="214" t="s">
        <v>118</v>
      </c>
      <c r="C13" s="297">
        <f>C11-C12</f>
        <v>-147631.11768909468</v>
      </c>
      <c r="D13" s="298">
        <f t="shared" ref="D13:G13" si="1">D11-D12</f>
        <v>39424.645899128394</v>
      </c>
      <c r="E13" s="298">
        <f t="shared" si="1"/>
        <v>38703.765899128397</v>
      </c>
      <c r="F13" s="298">
        <f t="shared" si="1"/>
        <v>147055.57499912835</v>
      </c>
      <c r="G13" s="299">
        <f t="shared" si="1"/>
        <v>152689.10936125336</v>
      </c>
    </row>
    <row r="14" spans="1:10" ht="15.6" x14ac:dyDescent="0.3">
      <c r="A14" s="210" t="s">
        <v>101</v>
      </c>
      <c r="B14" s="211" t="s">
        <v>102</v>
      </c>
      <c r="C14" s="294">
        <v>0</v>
      </c>
      <c r="D14" s="295">
        <v>0</v>
      </c>
      <c r="E14" s="295">
        <v>0</v>
      </c>
      <c r="F14" s="295">
        <v>0</v>
      </c>
      <c r="G14" s="296">
        <v>0</v>
      </c>
    </row>
    <row r="15" spans="1:10" ht="16.2" thickBot="1" x14ac:dyDescent="0.35">
      <c r="A15" s="215" t="s">
        <v>103</v>
      </c>
      <c r="B15" s="212" t="s">
        <v>104</v>
      </c>
      <c r="C15" s="294">
        <v>0</v>
      </c>
      <c r="D15" s="295">
        <v>0</v>
      </c>
      <c r="E15" s="295">
        <v>0</v>
      </c>
      <c r="F15" s="295">
        <v>0</v>
      </c>
      <c r="G15" s="296">
        <v>0</v>
      </c>
    </row>
    <row r="16" spans="1:10" ht="16.2" thickBot="1" x14ac:dyDescent="0.35">
      <c r="A16" s="213" t="s">
        <v>3</v>
      </c>
      <c r="B16" s="214" t="s">
        <v>119</v>
      </c>
      <c r="C16" s="297">
        <f>C13-C14+C15</f>
        <v>-147631.11768909468</v>
      </c>
      <c r="D16" s="298">
        <f t="shared" ref="D16:G16" si="2">D13-D14+D15</f>
        <v>39424.645899128394</v>
      </c>
      <c r="E16" s="298">
        <f t="shared" si="2"/>
        <v>38703.765899128397</v>
      </c>
      <c r="F16" s="298">
        <f t="shared" si="2"/>
        <v>147055.57499912835</v>
      </c>
      <c r="G16" s="299">
        <f t="shared" si="2"/>
        <v>152689.10936125336</v>
      </c>
    </row>
    <row r="17" spans="1:7" ht="16.2" thickBot="1" x14ac:dyDescent="0.35">
      <c r="A17" s="281" t="s">
        <v>64</v>
      </c>
      <c r="B17" s="216" t="s">
        <v>120</v>
      </c>
      <c r="C17" s="356">
        <f>IF(C16&lt;0,0,#REF!)</f>
        <v>0</v>
      </c>
      <c r="D17" s="352">
        <f>D16*(24%+3.3%)</f>
        <v>10762.928330462053</v>
      </c>
      <c r="E17" s="352">
        <f t="shared" ref="E17:G17" si="3">E16*(24%+3.3%)</f>
        <v>10566.128090462053</v>
      </c>
      <c r="F17" s="352">
        <f t="shared" si="3"/>
        <v>40146.171974762045</v>
      </c>
      <c r="G17" s="352">
        <f t="shared" si="3"/>
        <v>41684.126855622169</v>
      </c>
    </row>
    <row r="18" spans="1:7" ht="16.2" thickBot="1" x14ac:dyDescent="0.35">
      <c r="A18" s="280" t="s">
        <v>117</v>
      </c>
      <c r="B18" s="214" t="s">
        <v>89</v>
      </c>
      <c r="C18" s="297">
        <f>C16-C17</f>
        <v>-147631.11768909468</v>
      </c>
      <c r="D18" s="298">
        <f t="shared" ref="D18:G18" si="4">D16-D17</f>
        <v>28661.71756866634</v>
      </c>
      <c r="E18" s="298">
        <f t="shared" si="4"/>
        <v>28137.637808666346</v>
      </c>
      <c r="F18" s="298">
        <f t="shared" si="4"/>
        <v>106909.4030243663</v>
      </c>
      <c r="G18" s="299">
        <f t="shared" si="4"/>
        <v>111004.9825056312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60AF-CE5D-431A-AD5F-F7BF76882109}">
  <dimension ref="A1:J7"/>
  <sheetViews>
    <sheetView workbookViewId="0">
      <selection activeCell="C2" sqref="C2"/>
    </sheetView>
  </sheetViews>
  <sheetFormatPr defaultRowHeight="14.4" x14ac:dyDescent="0.3"/>
  <cols>
    <col min="1" max="1" width="6.6640625" customWidth="1"/>
    <col min="2" max="2" width="46" bestFit="1" customWidth="1"/>
    <col min="3" max="5" width="16.33203125" customWidth="1"/>
    <col min="6" max="10" width="18.6640625" customWidth="1"/>
  </cols>
  <sheetData>
    <row r="1" spans="1:10" ht="49.8" thickBot="1" x14ac:dyDescent="0.35">
      <c r="A1" s="332">
        <v>6</v>
      </c>
      <c r="B1" s="409" t="s">
        <v>157</v>
      </c>
      <c r="C1" s="547" t="s">
        <v>167</v>
      </c>
      <c r="D1" s="548"/>
      <c r="E1" s="548"/>
      <c r="F1" s="548"/>
      <c r="G1" s="548"/>
      <c r="H1" s="548"/>
      <c r="I1" s="548"/>
      <c r="J1" s="549"/>
    </row>
    <row r="2" spans="1:10" ht="31.95" customHeight="1" thickBot="1" x14ac:dyDescent="0.35">
      <c r="A2" s="208" t="s">
        <v>165</v>
      </c>
      <c r="B2" s="209"/>
      <c r="C2" s="393" t="s">
        <v>158</v>
      </c>
      <c r="D2" s="393" t="s">
        <v>160</v>
      </c>
      <c r="E2" s="393" t="s">
        <v>159</v>
      </c>
      <c r="F2" s="290" t="s">
        <v>79</v>
      </c>
      <c r="G2" s="291">
        <v>2025</v>
      </c>
      <c r="H2" s="291">
        <v>2026</v>
      </c>
      <c r="I2" s="291">
        <v>2027</v>
      </c>
      <c r="J2" s="292">
        <v>2028</v>
      </c>
    </row>
    <row r="3" spans="1:10" ht="15.6" x14ac:dyDescent="0.3">
      <c r="A3" s="397">
        <v>0.2</v>
      </c>
      <c r="B3" s="287" t="s">
        <v>161</v>
      </c>
      <c r="C3" s="270">
        <v>348898</v>
      </c>
      <c r="D3" s="270">
        <v>0</v>
      </c>
      <c r="E3" s="400">
        <v>0.1</v>
      </c>
      <c r="F3" s="270">
        <f>($C3+$D3)*$E3*$A3</f>
        <v>6977.9600000000009</v>
      </c>
      <c r="G3" s="271">
        <f t="shared" ref="G3:J3" si="0">($C3+$D3)*$E3*$A3</f>
        <v>6977.9600000000009</v>
      </c>
      <c r="H3" s="271">
        <f t="shared" si="0"/>
        <v>6977.9600000000009</v>
      </c>
      <c r="I3" s="271">
        <f t="shared" si="0"/>
        <v>6977.9600000000009</v>
      </c>
      <c r="J3" s="272">
        <f t="shared" si="0"/>
        <v>6977.9600000000009</v>
      </c>
    </row>
    <row r="4" spans="1:10" ht="15.6" x14ac:dyDescent="0.3">
      <c r="A4" s="397">
        <v>0.2</v>
      </c>
      <c r="B4" s="287" t="s">
        <v>162</v>
      </c>
      <c r="C4" s="273">
        <v>36751</v>
      </c>
      <c r="D4" s="273">
        <v>0</v>
      </c>
      <c r="E4" s="401">
        <v>0.1</v>
      </c>
      <c r="F4" s="273">
        <f t="shared" ref="F4:J6" si="1">($C4+$D4)*$E4*$A4</f>
        <v>735.0200000000001</v>
      </c>
      <c r="G4" s="268">
        <f t="shared" si="1"/>
        <v>735.0200000000001</v>
      </c>
      <c r="H4" s="268">
        <f t="shared" si="1"/>
        <v>735.0200000000001</v>
      </c>
      <c r="I4" s="268">
        <f t="shared" si="1"/>
        <v>735.0200000000001</v>
      </c>
      <c r="J4" s="274">
        <f t="shared" si="1"/>
        <v>735.0200000000001</v>
      </c>
    </row>
    <row r="5" spans="1:10" ht="15.6" x14ac:dyDescent="0.3">
      <c r="A5" s="397">
        <v>0.1</v>
      </c>
      <c r="B5" s="288" t="s">
        <v>163</v>
      </c>
      <c r="C5" s="138">
        <v>31054</v>
      </c>
      <c r="D5" s="138">
        <v>0</v>
      </c>
      <c r="E5" s="402">
        <v>0.1</v>
      </c>
      <c r="F5" s="273">
        <f t="shared" si="1"/>
        <v>310.54000000000002</v>
      </c>
      <c r="G5" s="268">
        <f t="shared" si="1"/>
        <v>310.54000000000002</v>
      </c>
      <c r="H5" s="268">
        <f t="shared" si="1"/>
        <v>310.54000000000002</v>
      </c>
      <c r="I5" s="268">
        <f t="shared" si="1"/>
        <v>310.54000000000002</v>
      </c>
      <c r="J5" s="274">
        <f t="shared" si="1"/>
        <v>310.54000000000002</v>
      </c>
    </row>
    <row r="6" spans="1:10" ht="16.2" thickBot="1" x14ac:dyDescent="0.35">
      <c r="A6" s="398">
        <v>0.15</v>
      </c>
      <c r="B6" s="289" t="s">
        <v>164</v>
      </c>
      <c r="C6" s="294">
        <v>0</v>
      </c>
      <c r="D6" s="294">
        <v>28277</v>
      </c>
      <c r="E6" s="403">
        <v>1</v>
      </c>
      <c r="F6" s="294">
        <f t="shared" si="1"/>
        <v>4241.55</v>
      </c>
      <c r="G6" s="295">
        <f t="shared" si="1"/>
        <v>4241.55</v>
      </c>
      <c r="H6" s="295">
        <f t="shared" si="1"/>
        <v>4241.55</v>
      </c>
      <c r="I6" s="295">
        <f t="shared" si="1"/>
        <v>4241.55</v>
      </c>
      <c r="J6" s="296">
        <f t="shared" si="1"/>
        <v>4241.55</v>
      </c>
    </row>
    <row r="7" spans="1:10" ht="16.2" thickBot="1" x14ac:dyDescent="0.35">
      <c r="A7" s="399"/>
      <c r="B7" s="214" t="s">
        <v>166</v>
      </c>
      <c r="C7" s="404">
        <f>SUM(C3:C6)</f>
        <v>416703</v>
      </c>
      <c r="D7" s="404">
        <f>SUM(D3:D6)</f>
        <v>28277</v>
      </c>
      <c r="E7" s="405"/>
      <c r="F7" s="406">
        <f>SUM(F3:F6)</f>
        <v>12265.070000000002</v>
      </c>
      <c r="G7" s="407">
        <f t="shared" ref="G7:J7" si="2">SUM(G3:G6)</f>
        <v>12265.070000000002</v>
      </c>
      <c r="H7" s="407">
        <f t="shared" si="2"/>
        <v>12265.070000000002</v>
      </c>
      <c r="I7" s="407">
        <f t="shared" si="2"/>
        <v>12265.070000000002</v>
      </c>
      <c r="J7" s="408">
        <f t="shared" si="2"/>
        <v>12265.070000000002</v>
      </c>
    </row>
  </sheetData>
  <mergeCells count="1">
    <mergeCell ref="C1:J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FD2AB3F71BA094EA8554271D8EF5E36" ma:contentTypeVersion="13" ma:contentTypeDescription="Creare un nuovo documento." ma:contentTypeScope="" ma:versionID="8ef7813c554c5fa5c808bcdf067f2d5c">
  <xsd:schema xmlns:xsd="http://www.w3.org/2001/XMLSchema" xmlns:xs="http://www.w3.org/2001/XMLSchema" xmlns:p="http://schemas.microsoft.com/office/2006/metadata/properties" xmlns:ns2="b4e672fa-4d35-48b8-9913-a70fdbd8ce5f" xmlns:ns3="ea77838c-c034-4058-8614-2e23bacedf44" targetNamespace="http://schemas.microsoft.com/office/2006/metadata/properties" ma:root="true" ma:fieldsID="c602360851cc90e54428d7f2f1634ba3" ns2:_="" ns3:_="">
    <xsd:import namespace="b4e672fa-4d35-48b8-9913-a70fdbd8ce5f"/>
    <xsd:import namespace="ea77838c-c034-4058-8614-2e23bacedf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e672fa-4d35-48b8-9913-a70fdbd8ce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3a917cee-1202-4b17-821f-944658d23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77838c-c034-4058-8614-2e23bacedf4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b1f2d18-c2ba-41dd-824e-9ca863263df7}" ma:internalName="TaxCatchAll" ma:showField="CatchAllData" ma:web="ea77838c-c034-4058-8614-2e23bacedf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e672fa-4d35-48b8-9913-a70fdbd8ce5f">
      <Terms xmlns="http://schemas.microsoft.com/office/infopath/2007/PartnerControls"/>
    </lcf76f155ced4ddcb4097134ff3c332f>
    <TaxCatchAll xmlns="ea77838c-c034-4058-8614-2e23bacedf44" xsi:nil="true"/>
  </documentManagement>
</p:properties>
</file>

<file path=customXml/itemProps1.xml><?xml version="1.0" encoding="utf-8"?>
<ds:datastoreItem xmlns:ds="http://schemas.openxmlformats.org/officeDocument/2006/customXml" ds:itemID="{0E945188-543A-44C4-9EF4-20C37B2B98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EF2612-A281-44B8-A5B5-880852065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e672fa-4d35-48b8-9913-a70fdbd8ce5f"/>
    <ds:schemaRef ds:uri="ea77838c-c034-4058-8614-2e23bacedf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43DDB2-CB42-4E2B-972B-3229B5888CA7}">
  <ds:schemaRefs>
    <ds:schemaRef ds:uri="http://schemas.microsoft.com/office/2006/metadata/properties"/>
    <ds:schemaRef ds:uri="http://schemas.microsoft.com/office/infopath/2007/PartnerControls"/>
    <ds:schemaRef ds:uri="b4e672fa-4d35-48b8-9913-a70fdbd8ce5f"/>
    <ds:schemaRef ds:uri="ea77838c-c034-4058-8614-2e23bacedf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1 - Descrizione progetto</vt:lpstr>
      <vt:lpstr>2 - Spec. ricavi e costi</vt:lpstr>
      <vt:lpstr>3 - Parametri, IVA, flusso fin.</vt:lpstr>
      <vt:lpstr>4 - Analisi finanziaria</vt:lpstr>
      <vt:lpstr>5 - Conto Economico</vt:lpstr>
      <vt:lpstr>6 - Dettaglio comp. ammort.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Lafauci</dc:creator>
  <cp:lastModifiedBy>Lafauci</cp:lastModifiedBy>
  <dcterms:created xsi:type="dcterms:W3CDTF">2015-06-05T18:19:34Z</dcterms:created>
  <dcterms:modified xsi:type="dcterms:W3CDTF">2023-05-09T13:40:01Z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0x010100DFD2AB3F71BA094EA8554271D8EF5E36</vt:lpwstr>
  </property>
  <property fmtid="{D5CDD505-2E9C-101B-9397-08002B2CF9AE}" pid="3" name="MediaServiceImageTags">
    <vt:lpwstr/>
  </property>
</Properties>
</file>